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6805" yWindow="885" windowWidth="20730" windowHeight="11685" firstSheet="2" activeTab="2"/>
  </bookViews>
  <sheets>
    <sheet name="7PSourceSummary" sheetId="20" r:id="rId1"/>
    <sheet name="forRPM" sheetId="40" r:id="rId2"/>
    <sheet name="SC-Retro" sheetId="8" r:id="rId3"/>
    <sheet name="Accomplishments" sheetId="23" r:id="rId4"/>
    <sheet name="M_Input_Out" sheetId="39" r:id="rId5"/>
    <sheet name="M_Input" sheetId="3" r:id="rId6"/>
    <sheet name="Increment" sheetId="19" r:id="rId7"/>
    <sheet name="Raw" sheetId="18" r:id="rId8"/>
    <sheet name="Input" sheetId="36" r:id="rId9"/>
    <sheet name="Assump" sheetId="37" r:id="rId10"/>
    <sheet name="Costs" sheetId="38" r:id="rId11"/>
  </sheets>
  <externalReferences>
    <externalReference r:id="rId12"/>
    <externalReference r:id="rId13"/>
  </externalReferences>
  <definedNames>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localSheetId="1" hidden="1">#REF!</definedName>
    <definedName name="_SortOld" hidden="1">#REF!</definedName>
    <definedName name="AgBase">'[1]Ag Forecast (Base Case)'!$C$26:$BB$29</definedName>
    <definedName name="anscount" hidden="1">1</definedName>
    <definedName name="CBWorkbookPriority" hidden="1">-738590518</definedName>
    <definedName name="ConvertHandLine_LowCst">Costs!$C$9</definedName>
    <definedName name="ConvertHi_LowCst">Costs!$C$6</definedName>
    <definedName name="ConvertMed_LowCst">Costs!$C$7</definedName>
    <definedName name="ConvertWheelLine_LowCst">Costs!$C$8</definedName>
    <definedName name="Deflator">Costs!$F$2</definedName>
    <definedName name="HandLine_OandM">Costs!$C$11</definedName>
    <definedName name="limcount" hidden="1">1</definedName>
    <definedName name="MeasureOutput">M_Input_Out!$A$4:$AM$100</definedName>
    <definedName name="Nozzle_PeriodicRepl">Costs!$C$12</definedName>
    <definedName name="PreWaterUseID">Assump!$B$13</definedName>
    <definedName name="PreWaterUseMT">Assump!$C$13</definedName>
    <definedName name="PreWaterUseOR">Assump!$D$13</definedName>
    <definedName name="PreWaterUseWA">Assump!$E$13</definedName>
    <definedName name="PumpDepthID">Assump!$B$25</definedName>
    <definedName name="PumpDepthMT">Assump!$C$25</definedName>
    <definedName name="PumpDepthOR">Assump!$D$25</definedName>
    <definedName name="PumpDepthWA">Assump!$E$25</definedName>
    <definedName name="PumpPSIID">Assump!$B$27</definedName>
    <definedName name="PumpPSIMT">Assump!$C$27</definedName>
    <definedName name="PumpPSIOR">Assump!$D$27</definedName>
    <definedName name="PumpPSIWA">Assump!$E$27</definedName>
    <definedName name="sencount" hidden="1">1</definedName>
    <definedName name="sort" localSheetId="1" hidden="1">#REF!</definedName>
    <definedName name="sort" hidden="1">#REF!</definedName>
    <definedName name="WheelLine_OandM">Costs!$C$10</definedName>
  </definedNames>
  <calcPr calcId="125725"/>
</workbook>
</file>

<file path=xl/calcChain.xml><?xml version="1.0" encoding="utf-8"?>
<calcChain xmlns="http://schemas.openxmlformats.org/spreadsheetml/2006/main">
  <c r="D9" i="8"/>
  <c r="C12" i="38" l="1"/>
  <c r="C11"/>
  <c r="C10"/>
  <c r="C9"/>
  <c r="C8"/>
  <c r="C7"/>
  <c r="C6"/>
  <c r="C9" i="8"/>
  <c r="A9" l="1"/>
  <c r="E7" i="40" s="1"/>
  <c r="E16" l="1"/>
  <c r="E4"/>
  <c r="E17"/>
  <c r="E13"/>
  <c r="E9"/>
  <c r="E5"/>
  <c r="E8"/>
  <c r="E18"/>
  <c r="E14"/>
  <c r="E10"/>
  <c r="E6"/>
  <c r="E12"/>
  <c r="E3"/>
  <c r="E15"/>
  <c r="E11"/>
  <c r="AF5"/>
  <c r="AJ5"/>
  <c r="AN5"/>
  <c r="AS5"/>
  <c r="AW5"/>
  <c r="BA5"/>
  <c r="AF7"/>
  <c r="AJ7"/>
  <c r="AN7"/>
  <c r="AS7"/>
  <c r="AW7"/>
  <c r="BA7"/>
  <c r="AF9"/>
  <c r="AJ9"/>
  <c r="AN9"/>
  <c r="AS9"/>
  <c r="AW9"/>
  <c r="BA9"/>
  <c r="AF11"/>
  <c r="AJ11"/>
  <c r="AN11"/>
  <c r="AS11"/>
  <c r="AW11"/>
  <c r="BA11"/>
  <c r="AF13"/>
  <c r="AJ13"/>
  <c r="AN13"/>
  <c r="AS13"/>
  <c r="AW13"/>
  <c r="BA13"/>
  <c r="AF15"/>
  <c r="AJ15"/>
  <c r="AN15"/>
  <c r="AS15"/>
  <c r="AW15"/>
  <c r="BA15"/>
  <c r="AF17"/>
  <c r="AJ17"/>
  <c r="AN17"/>
  <c r="AS17"/>
  <c r="AW17"/>
  <c r="BA17"/>
  <c r="BD3"/>
  <c r="AZ3"/>
  <c r="AV3"/>
  <c r="AQ3"/>
  <c r="AM3"/>
  <c r="AI3"/>
  <c r="J18"/>
  <c r="I18"/>
  <c r="AI18" s="1"/>
  <c r="J17"/>
  <c r="I17"/>
  <c r="AI17" s="1"/>
  <c r="J16"/>
  <c r="I16"/>
  <c r="AI16" s="1"/>
  <c r="J15"/>
  <c r="I15"/>
  <c r="AI15" s="1"/>
  <c r="J14"/>
  <c r="I14"/>
  <c r="AI14" s="1"/>
  <c r="J13"/>
  <c r="I13"/>
  <c r="AI13" s="1"/>
  <c r="J12"/>
  <c r="I12"/>
  <c r="AI12" s="1"/>
  <c r="J11"/>
  <c r="I11"/>
  <c r="AI11" s="1"/>
  <c r="J10"/>
  <c r="I10"/>
  <c r="AI10" s="1"/>
  <c r="J9"/>
  <c r="I9"/>
  <c r="AI9" s="1"/>
  <c r="J8"/>
  <c r="I8"/>
  <c r="AI8" s="1"/>
  <c r="J7"/>
  <c r="I7"/>
  <c r="AI7" s="1"/>
  <c r="J6"/>
  <c r="I6"/>
  <c r="AI6" s="1"/>
  <c r="J5"/>
  <c r="I5"/>
  <c r="AI5" s="1"/>
  <c r="J4"/>
  <c r="I4"/>
  <c r="AI4" s="1"/>
  <c r="J3"/>
  <c r="I3"/>
  <c r="F3" s="1"/>
  <c r="B11"/>
  <c r="C11"/>
  <c r="A11" s="1"/>
  <c r="B12"/>
  <c r="C12"/>
  <c r="A12" s="1"/>
  <c r="B13"/>
  <c r="C13"/>
  <c r="A13" s="1"/>
  <c r="B14"/>
  <c r="C14"/>
  <c r="A14" s="1"/>
  <c r="B15"/>
  <c r="A15" s="1"/>
  <c r="C15"/>
  <c r="A16"/>
  <c r="B16"/>
  <c r="C16"/>
  <c r="B17"/>
  <c r="C17"/>
  <c r="A17" s="1"/>
  <c r="B18"/>
  <c r="C18"/>
  <c r="A18" s="1"/>
  <c r="C10"/>
  <c r="B10"/>
  <c r="C9"/>
  <c r="B9"/>
  <c r="C8"/>
  <c r="B8"/>
  <c r="A8" s="1"/>
  <c r="C7"/>
  <c r="B7"/>
  <c r="C6"/>
  <c r="B6"/>
  <c r="A6" s="1"/>
  <c r="C5"/>
  <c r="B5"/>
  <c r="C4"/>
  <c r="B4"/>
  <c r="A4" s="1"/>
  <c r="C3"/>
  <c r="A3" s="1"/>
  <c r="B3"/>
  <c r="A10"/>
  <c r="A7"/>
  <c r="AD2"/>
  <c r="AC2"/>
  <c r="AB2"/>
  <c r="AA2"/>
  <c r="Z2"/>
  <c r="Y2"/>
  <c r="X2"/>
  <c r="W2"/>
  <c r="V2"/>
  <c r="U2"/>
  <c r="T2"/>
  <c r="S2"/>
  <c r="R2"/>
  <c r="Q2"/>
  <c r="P2"/>
  <c r="O2"/>
  <c r="N2"/>
  <c r="M2"/>
  <c r="L2"/>
  <c r="K2"/>
  <c r="BA12" l="1"/>
  <c r="AS12"/>
  <c r="AN12"/>
  <c r="AJ12"/>
  <c r="AF12"/>
  <c r="BA8"/>
  <c r="BA6"/>
  <c r="AW6"/>
  <c r="AS6"/>
  <c r="AN6"/>
  <c r="AJ6"/>
  <c r="AF6"/>
  <c r="BA4"/>
  <c r="AW4"/>
  <c r="AS4"/>
  <c r="AN4"/>
  <c r="AJ4"/>
  <c r="AF4"/>
  <c r="A5"/>
  <c r="A9"/>
  <c r="F17"/>
  <c r="F13"/>
  <c r="F9"/>
  <c r="F5"/>
  <c r="AH3"/>
  <c r="AL3"/>
  <c r="AP3"/>
  <c r="AU3"/>
  <c r="AY3"/>
  <c r="BC3"/>
  <c r="BB18"/>
  <c r="AX18"/>
  <c r="AT18"/>
  <c r="AO18"/>
  <c r="AK18"/>
  <c r="AG18"/>
  <c r="BB17"/>
  <c r="AX17"/>
  <c r="AT17"/>
  <c r="AO17"/>
  <c r="AK17"/>
  <c r="AG17"/>
  <c r="BB16"/>
  <c r="AX16"/>
  <c r="AT16"/>
  <c r="AO16"/>
  <c r="AK16"/>
  <c r="AG16"/>
  <c r="BB15"/>
  <c r="AX15"/>
  <c r="AT15"/>
  <c r="AO15"/>
  <c r="AK15"/>
  <c r="AG15"/>
  <c r="BB14"/>
  <c r="AX14"/>
  <c r="AT14"/>
  <c r="AO14"/>
  <c r="AK14"/>
  <c r="AG14"/>
  <c r="BB13"/>
  <c r="AX13"/>
  <c r="AT13"/>
  <c r="AO13"/>
  <c r="AK13"/>
  <c r="AG13"/>
  <c r="BB12"/>
  <c r="AX12"/>
  <c r="AT12"/>
  <c r="AO12"/>
  <c r="AK12"/>
  <c r="AG12"/>
  <c r="BB11"/>
  <c r="AX11"/>
  <c r="AT11"/>
  <c r="AO11"/>
  <c r="AK11"/>
  <c r="AG11"/>
  <c r="BB10"/>
  <c r="AX10"/>
  <c r="AT10"/>
  <c r="AO10"/>
  <c r="AK10"/>
  <c r="AG10"/>
  <c r="BB9"/>
  <c r="AX9"/>
  <c r="AT9"/>
  <c r="AO9"/>
  <c r="AK9"/>
  <c r="AG9"/>
  <c r="BB8"/>
  <c r="AX8"/>
  <c r="AT8"/>
  <c r="AO8"/>
  <c r="AK8"/>
  <c r="AG8"/>
  <c r="BB7"/>
  <c r="AX7"/>
  <c r="AT7"/>
  <c r="AO7"/>
  <c r="AK7"/>
  <c r="AG7"/>
  <c r="BB6"/>
  <c r="AX6"/>
  <c r="AT6"/>
  <c r="AO6"/>
  <c r="AK6"/>
  <c r="AG6"/>
  <c r="BB5"/>
  <c r="AX5"/>
  <c r="AT5"/>
  <c r="AO5"/>
  <c r="AK5"/>
  <c r="AG5"/>
  <c r="BB4"/>
  <c r="AX4"/>
  <c r="AT4"/>
  <c r="AO4"/>
  <c r="AK4"/>
  <c r="AG4"/>
  <c r="BA14"/>
  <c r="AW14"/>
  <c r="AS14"/>
  <c r="AN14"/>
  <c r="AJ14"/>
  <c r="AF14"/>
  <c r="AW8"/>
  <c r="AS8"/>
  <c r="AN8"/>
  <c r="AJ8"/>
  <c r="AF8"/>
  <c r="F18"/>
  <c r="F14"/>
  <c r="F10"/>
  <c r="F6"/>
  <c r="AG3"/>
  <c r="AK3"/>
  <c r="AO3"/>
  <c r="AT3"/>
  <c r="AX3"/>
  <c r="BB3"/>
  <c r="BC18"/>
  <c r="AY18"/>
  <c r="AU18"/>
  <c r="AP18"/>
  <c r="AL18"/>
  <c r="AH18"/>
  <c r="BC17"/>
  <c r="AY17"/>
  <c r="AU17"/>
  <c r="AP17"/>
  <c r="AL17"/>
  <c r="AH17"/>
  <c r="BC16"/>
  <c r="AY16"/>
  <c r="AU16"/>
  <c r="AP16"/>
  <c r="AL16"/>
  <c r="AH16"/>
  <c r="BC15"/>
  <c r="AY15"/>
  <c r="AU15"/>
  <c r="AP15"/>
  <c r="AL15"/>
  <c r="AH15"/>
  <c r="BC14"/>
  <c r="AY14"/>
  <c r="AU14"/>
  <c r="AP14"/>
  <c r="AL14"/>
  <c r="AH14"/>
  <c r="BC13"/>
  <c r="AY13"/>
  <c r="AU13"/>
  <c r="AP13"/>
  <c r="AL13"/>
  <c r="AH13"/>
  <c r="BC12"/>
  <c r="AY12"/>
  <c r="AU12"/>
  <c r="AP12"/>
  <c r="AL12"/>
  <c r="AH12"/>
  <c r="BC11"/>
  <c r="AY11"/>
  <c r="AU11"/>
  <c r="AP11"/>
  <c r="AL11"/>
  <c r="AH11"/>
  <c r="BC10"/>
  <c r="AY10"/>
  <c r="AU10"/>
  <c r="AP10"/>
  <c r="AL10"/>
  <c r="AH10"/>
  <c r="BC9"/>
  <c r="AY9"/>
  <c r="AU9"/>
  <c r="AP9"/>
  <c r="AL9"/>
  <c r="AH9"/>
  <c r="BC8"/>
  <c r="AY8"/>
  <c r="AU8"/>
  <c r="AP8"/>
  <c r="AL8"/>
  <c r="AH8"/>
  <c r="BC7"/>
  <c r="AY7"/>
  <c r="AU7"/>
  <c r="AP7"/>
  <c r="AL7"/>
  <c r="AH7"/>
  <c r="BC6"/>
  <c r="AY6"/>
  <c r="AU6"/>
  <c r="AP6"/>
  <c r="AL6"/>
  <c r="AH6"/>
  <c r="BC5"/>
  <c r="AY5"/>
  <c r="AU5"/>
  <c r="AP5"/>
  <c r="AL5"/>
  <c r="AH5"/>
  <c r="BC4"/>
  <c r="AY4"/>
  <c r="AU4"/>
  <c r="AP4"/>
  <c r="AL4"/>
  <c r="AH4"/>
  <c r="F16"/>
  <c r="F12"/>
  <c r="F8"/>
  <c r="F4"/>
  <c r="BA18"/>
  <c r="AW18"/>
  <c r="AS18"/>
  <c r="AN18"/>
  <c r="AJ18"/>
  <c r="AF18"/>
  <c r="BA16"/>
  <c r="AW16"/>
  <c r="AS16"/>
  <c r="AN16"/>
  <c r="AJ16"/>
  <c r="AF16"/>
  <c r="AW12"/>
  <c r="BA10"/>
  <c r="AW10"/>
  <c r="AS10"/>
  <c r="AN10"/>
  <c r="AJ10"/>
  <c r="AF10"/>
  <c r="F15"/>
  <c r="F11"/>
  <c r="F7"/>
  <c r="AF3"/>
  <c r="AJ3"/>
  <c r="AN3"/>
  <c r="AS3"/>
  <c r="AW3"/>
  <c r="BA3"/>
  <c r="BD18"/>
  <c r="AZ18"/>
  <c r="AV18"/>
  <c r="AQ18"/>
  <c r="AM18"/>
  <c r="BD17"/>
  <c r="AZ17"/>
  <c r="AV17"/>
  <c r="AQ17"/>
  <c r="AM17"/>
  <c r="BD16"/>
  <c r="AZ16"/>
  <c r="AV16"/>
  <c r="AQ16"/>
  <c r="AM16"/>
  <c r="BD15"/>
  <c r="AZ15"/>
  <c r="AV15"/>
  <c r="AQ15"/>
  <c r="AM15"/>
  <c r="BD14"/>
  <c r="AZ14"/>
  <c r="AV14"/>
  <c r="AQ14"/>
  <c r="AM14"/>
  <c r="BD13"/>
  <c r="AZ13"/>
  <c r="AV13"/>
  <c r="AQ13"/>
  <c r="AM13"/>
  <c r="BD12"/>
  <c r="AZ12"/>
  <c r="AV12"/>
  <c r="AQ12"/>
  <c r="AM12"/>
  <c r="BD11"/>
  <c r="AZ11"/>
  <c r="AV11"/>
  <c r="AQ11"/>
  <c r="AM11"/>
  <c r="BD10"/>
  <c r="AZ10"/>
  <c r="AV10"/>
  <c r="AQ10"/>
  <c r="AM10"/>
  <c r="BD9"/>
  <c r="AZ9"/>
  <c r="AV9"/>
  <c r="AQ9"/>
  <c r="AM9"/>
  <c r="BD8"/>
  <c r="AZ8"/>
  <c r="AV8"/>
  <c r="AQ8"/>
  <c r="AM8"/>
  <c r="BD7"/>
  <c r="AZ7"/>
  <c r="AV7"/>
  <c r="AQ7"/>
  <c r="AM7"/>
  <c r="BD6"/>
  <c r="AZ6"/>
  <c r="AV6"/>
  <c r="AQ6"/>
  <c r="AM6"/>
  <c r="BD5"/>
  <c r="AZ5"/>
  <c r="AV5"/>
  <c r="AQ5"/>
  <c r="AM5"/>
  <c r="BD4"/>
  <c r="AZ4"/>
  <c r="AV4"/>
  <c r="AQ4"/>
  <c r="AM4"/>
  <c r="H95" i="23"/>
  <c r="G95"/>
  <c r="G94"/>
  <c r="H94" s="1"/>
  <c r="H93"/>
  <c r="G93"/>
  <c r="G92"/>
  <c r="H92" s="1"/>
  <c r="H91"/>
  <c r="G91"/>
  <c r="G90"/>
  <c r="H90" s="1"/>
  <c r="H89"/>
  <c r="G89"/>
  <c r="E30" i="37" l="1"/>
  <c r="D30"/>
  <c r="C30"/>
  <c r="B30"/>
  <c r="E29"/>
  <c r="D29"/>
  <c r="C29"/>
  <c r="B29"/>
  <c r="E28"/>
  <c r="D28"/>
  <c r="C28"/>
  <c r="B28"/>
  <c r="E27"/>
  <c r="I41" i="36" s="1"/>
  <c r="D27" i="37"/>
  <c r="I37" i="36" s="1"/>
  <c r="C27" i="37"/>
  <c r="B27"/>
  <c r="E26"/>
  <c r="D26"/>
  <c r="C26"/>
  <c r="B26"/>
  <c r="E25"/>
  <c r="D42" i="36" s="1"/>
  <c r="D25" i="37"/>
  <c r="D37" i="36" s="1"/>
  <c r="C25" i="37"/>
  <c r="B25"/>
  <c r="E24"/>
  <c r="D24"/>
  <c r="C24"/>
  <c r="B24"/>
  <c r="E23"/>
  <c r="D23"/>
  <c r="C23"/>
  <c r="B23"/>
  <c r="E22"/>
  <c r="D22"/>
  <c r="C22"/>
  <c r="B22"/>
  <c r="E21"/>
  <c r="D21"/>
  <c r="C21"/>
  <c r="B21"/>
  <c r="E16"/>
  <c r="D16"/>
  <c r="C16"/>
  <c r="B16"/>
  <c r="E15"/>
  <c r="D15"/>
  <c r="C15"/>
  <c r="B15"/>
  <c r="E14"/>
  <c r="D14"/>
  <c r="C14"/>
  <c r="B14"/>
  <c r="E13"/>
  <c r="L39" i="36" s="1"/>
  <c r="D13" i="37"/>
  <c r="L36" i="36" s="1"/>
  <c r="C13" i="37"/>
  <c r="B13"/>
  <c r="L28" i="36" s="1"/>
  <c r="E11" i="37"/>
  <c r="D11"/>
  <c r="C11"/>
  <c r="B11"/>
  <c r="E10"/>
  <c r="D10"/>
  <c r="C10"/>
  <c r="B10"/>
  <c r="E7"/>
  <c r="D7"/>
  <c r="C7"/>
  <c r="B7"/>
  <c r="E6"/>
  <c r="D6"/>
  <c r="C6"/>
  <c r="B6"/>
  <c r="E5"/>
  <c r="E12" s="1"/>
  <c r="D5"/>
  <c r="C5"/>
  <c r="C12" s="1"/>
  <c r="B5"/>
  <c r="L41" i="36"/>
  <c r="L61" s="1"/>
  <c r="N61" s="1"/>
  <c r="L38"/>
  <c r="L58" s="1"/>
  <c r="N58" s="1"/>
  <c r="L37"/>
  <c r="L34"/>
  <c r="L33"/>
  <c r="N33" s="1"/>
  <c r="L30"/>
  <c r="N30" s="1"/>
  <c r="L29"/>
  <c r="A50" i="8"/>
  <c r="A49"/>
  <c r="A48"/>
  <c r="A47"/>
  <c r="A46"/>
  <c r="A45"/>
  <c r="A44"/>
  <c r="A43"/>
  <c r="A42"/>
  <c r="A41"/>
  <c r="A40"/>
  <c r="A39"/>
  <c r="A38"/>
  <c r="A37"/>
  <c r="A36"/>
  <c r="A35"/>
  <c r="E28"/>
  <c r="E27"/>
  <c r="E26"/>
  <c r="E25"/>
  <c r="E24"/>
  <c r="E23"/>
  <c r="E22"/>
  <c r="E21"/>
  <c r="E20"/>
  <c r="E19"/>
  <c r="E18"/>
  <c r="E17"/>
  <c r="E16"/>
  <c r="E15"/>
  <c r="E14"/>
  <c r="E13"/>
  <c r="B58"/>
  <c r="B59"/>
  <c r="B60"/>
  <c r="B61"/>
  <c r="B62"/>
  <c r="B63"/>
  <c r="B64"/>
  <c r="B65"/>
  <c r="B66"/>
  <c r="B67"/>
  <c r="B68"/>
  <c r="B69"/>
  <c r="B70"/>
  <c r="B71"/>
  <c r="B72"/>
  <c r="B57"/>
  <c r="Z36"/>
  <c r="Z37"/>
  <c r="Z38"/>
  <c r="Z39"/>
  <c r="Z40"/>
  <c r="Z41"/>
  <c r="Z42"/>
  <c r="Z43"/>
  <c r="Z44"/>
  <c r="Z45"/>
  <c r="Z46"/>
  <c r="Z47"/>
  <c r="Z48"/>
  <c r="Z49"/>
  <c r="Z50"/>
  <c r="Z35"/>
  <c r="H16" i="3"/>
  <c r="N16"/>
  <c r="G17"/>
  <c r="M17"/>
  <c r="L18"/>
  <c r="K19"/>
  <c r="O19"/>
  <c r="G20"/>
  <c r="K20"/>
  <c r="M20"/>
  <c r="O20"/>
  <c r="H13"/>
  <c r="L13"/>
  <c r="N13"/>
  <c r="G14"/>
  <c r="L14"/>
  <c r="N14"/>
  <c r="G15"/>
  <c r="L15"/>
  <c r="N15"/>
  <c r="H8"/>
  <c r="L8"/>
  <c r="N8"/>
  <c r="H7" i="19"/>
  <c r="G8" i="3" s="1"/>
  <c r="I7" i="19"/>
  <c r="L7"/>
  <c r="K8" i="3" s="1"/>
  <c r="M7" i="19"/>
  <c r="N7"/>
  <c r="M8" i="3" s="1"/>
  <c r="O7" i="19"/>
  <c r="P7"/>
  <c r="O8" i="3" s="1"/>
  <c r="Q7" i="19"/>
  <c r="C8"/>
  <c r="B9" i="3" s="1"/>
  <c r="H8" i="19"/>
  <c r="G9" i="3" s="1"/>
  <c r="I8" i="19"/>
  <c r="H9" i="3" s="1"/>
  <c r="L8" i="19"/>
  <c r="K9" i="3" s="1"/>
  <c r="M8" i="19"/>
  <c r="L9" i="3" s="1"/>
  <c r="N8" i="19"/>
  <c r="M9" i="3" s="1"/>
  <c r="O8" i="19"/>
  <c r="N9" i="3" s="1"/>
  <c r="P8" i="19"/>
  <c r="O9" i="3" s="1"/>
  <c r="Q8" i="19"/>
  <c r="H9"/>
  <c r="G10" i="3" s="1"/>
  <c r="I9" i="19"/>
  <c r="H10" i="3" s="1"/>
  <c r="L9" i="19"/>
  <c r="K10" i="3" s="1"/>
  <c r="M9" i="19"/>
  <c r="L10" i="3" s="1"/>
  <c r="N9" i="19"/>
  <c r="M10" i="3" s="1"/>
  <c r="O9" i="19"/>
  <c r="N10" i="3" s="1"/>
  <c r="P9" i="19"/>
  <c r="O10" i="3" s="1"/>
  <c r="Q9" i="19"/>
  <c r="C10"/>
  <c r="B11" i="3" s="1"/>
  <c r="H10" i="19"/>
  <c r="G11" i="3" s="1"/>
  <c r="I10" i="19"/>
  <c r="H11" i="3" s="1"/>
  <c r="L10" i="19"/>
  <c r="K11" i="3" s="1"/>
  <c r="M10" i="19"/>
  <c r="L11" i="3" s="1"/>
  <c r="N10" i="19"/>
  <c r="M11" i="3" s="1"/>
  <c r="O10" i="19"/>
  <c r="N11" i="3" s="1"/>
  <c r="P10" i="19"/>
  <c r="O11" i="3" s="1"/>
  <c r="Q10" i="19"/>
  <c r="H11"/>
  <c r="G12" i="3" s="1"/>
  <c r="I11" i="19"/>
  <c r="H12" i="3" s="1"/>
  <c r="L11" i="19"/>
  <c r="K12" i="3" s="1"/>
  <c r="M11" i="19"/>
  <c r="L12" i="3" s="1"/>
  <c r="N11" i="19"/>
  <c r="M12" i="3" s="1"/>
  <c r="O11" i="19"/>
  <c r="N12" i="3" s="1"/>
  <c r="P11" i="19"/>
  <c r="O12" i="3" s="1"/>
  <c r="Q11" i="19"/>
  <c r="H12"/>
  <c r="G13" i="3" s="1"/>
  <c r="I12" i="19"/>
  <c r="L12"/>
  <c r="K13" i="3" s="1"/>
  <c r="M12" i="19"/>
  <c r="N12"/>
  <c r="M13" i="3" s="1"/>
  <c r="O12" i="19"/>
  <c r="P12"/>
  <c r="O13" i="3" s="1"/>
  <c r="Q12" i="19"/>
  <c r="H13"/>
  <c r="I13"/>
  <c r="H14" i="3" s="1"/>
  <c r="L13" i="19"/>
  <c r="K14" i="3" s="1"/>
  <c r="M13" i="19"/>
  <c r="N13"/>
  <c r="M14" i="3" s="1"/>
  <c r="O13" i="19"/>
  <c r="P13"/>
  <c r="O14" i="3" s="1"/>
  <c r="Q13" i="19"/>
  <c r="H14"/>
  <c r="I14"/>
  <c r="H15" i="3" s="1"/>
  <c r="L14" i="19"/>
  <c r="K15" i="3" s="1"/>
  <c r="M14" i="19"/>
  <c r="N14"/>
  <c r="M15" i="3" s="1"/>
  <c r="O14" i="19"/>
  <c r="P14"/>
  <c r="O15" i="3" s="1"/>
  <c r="Q14" i="19"/>
  <c r="H15"/>
  <c r="G16" i="3" s="1"/>
  <c r="I15" i="19"/>
  <c r="L15"/>
  <c r="K16" i="3" s="1"/>
  <c r="M15" i="19"/>
  <c r="L16" i="3" s="1"/>
  <c r="N15" i="19"/>
  <c r="M16" i="3" s="1"/>
  <c r="O15" i="19"/>
  <c r="P15"/>
  <c r="O16" i="3" s="1"/>
  <c r="Q15" i="19"/>
  <c r="H16"/>
  <c r="I16"/>
  <c r="H17" i="3" s="1"/>
  <c r="L16" i="19"/>
  <c r="K17" i="3" s="1"/>
  <c r="M16" i="19"/>
  <c r="L17" i="3" s="1"/>
  <c r="N16" i="19"/>
  <c r="O16"/>
  <c r="N17" i="3" s="1"/>
  <c r="P16" i="19"/>
  <c r="O17" i="3" s="1"/>
  <c r="Q16" i="19"/>
  <c r="H17"/>
  <c r="G18" i="3" s="1"/>
  <c r="I17" i="19"/>
  <c r="H18" i="3" s="1"/>
  <c r="L17" i="19"/>
  <c r="K18" i="3" s="1"/>
  <c r="M17" i="19"/>
  <c r="N17"/>
  <c r="M18" i="3" s="1"/>
  <c r="O17" i="19"/>
  <c r="N18" i="3" s="1"/>
  <c r="P17" i="19"/>
  <c r="O18" i="3" s="1"/>
  <c r="Q17" i="19"/>
  <c r="H18"/>
  <c r="G19" i="3" s="1"/>
  <c r="I18" i="19"/>
  <c r="H19" i="3" s="1"/>
  <c r="L18" i="19"/>
  <c r="M18"/>
  <c r="L19" i="3" s="1"/>
  <c r="N18" i="19"/>
  <c r="M19" i="3" s="1"/>
  <c r="O18" i="19"/>
  <c r="N19" i="3" s="1"/>
  <c r="P18" i="19"/>
  <c r="Q18"/>
  <c r="C19"/>
  <c r="B20" i="3" s="1"/>
  <c r="H19" i="19"/>
  <c r="I19"/>
  <c r="H20" i="3" s="1"/>
  <c r="L19" i="19"/>
  <c r="M19"/>
  <c r="L20" i="3" s="1"/>
  <c r="N19" i="19"/>
  <c r="O19"/>
  <c r="N20" i="3" s="1"/>
  <c r="P19" i="19"/>
  <c r="Q19"/>
  <c r="H20"/>
  <c r="G21" i="3" s="1"/>
  <c r="I20" i="19"/>
  <c r="H21" i="3" s="1"/>
  <c r="L20" i="19"/>
  <c r="K21" i="3" s="1"/>
  <c r="M20" i="19"/>
  <c r="L21" i="3" s="1"/>
  <c r="N20" i="19"/>
  <c r="M21" i="3" s="1"/>
  <c r="O20" i="19"/>
  <c r="N21" i="3" s="1"/>
  <c r="P20" i="19"/>
  <c r="O21" i="3" s="1"/>
  <c r="Q20" i="19"/>
  <c r="H21"/>
  <c r="G22" i="3" s="1"/>
  <c r="I21" i="19"/>
  <c r="H22" i="3" s="1"/>
  <c r="L21" i="19"/>
  <c r="K22" i="3" s="1"/>
  <c r="M21" i="19"/>
  <c r="L22" i="3" s="1"/>
  <c r="N21" i="19"/>
  <c r="M22" i="3" s="1"/>
  <c r="O21" i="19"/>
  <c r="N22" i="3" s="1"/>
  <c r="P21" i="19"/>
  <c r="O22" i="3" s="1"/>
  <c r="Q21" i="19"/>
  <c r="H22"/>
  <c r="G23" i="3" s="1"/>
  <c r="I22" i="19"/>
  <c r="H23" i="3" s="1"/>
  <c r="L22" i="19"/>
  <c r="K23" i="3" s="1"/>
  <c r="M22" i="19"/>
  <c r="L23" i="3" s="1"/>
  <c r="N22" i="19"/>
  <c r="M23" i="3" s="1"/>
  <c r="O22" i="19"/>
  <c r="N23" i="3" s="1"/>
  <c r="P22" i="19"/>
  <c r="O23" i="3" s="1"/>
  <c r="Q22" i="19"/>
  <c r="A13"/>
  <c r="A17"/>
  <c r="A7"/>
  <c r="A14" i="18"/>
  <c r="A16"/>
  <c r="A15" i="19" s="1"/>
  <c r="A18" i="18"/>
  <c r="A22"/>
  <c r="A21" i="19" s="1"/>
  <c r="A8" i="18"/>
  <c r="K10"/>
  <c r="K9" i="19" s="1"/>
  <c r="J10" i="3" s="1"/>
  <c r="K12" i="18"/>
  <c r="K11" i="19" s="1"/>
  <c r="J12" i="3" s="1"/>
  <c r="K14" i="18"/>
  <c r="K13" i="19" s="1"/>
  <c r="J14" i="3" s="1"/>
  <c r="K18" i="18"/>
  <c r="K17" i="19" s="1"/>
  <c r="J18" i="3" s="1"/>
  <c r="K20" i="18"/>
  <c r="K19" i="19" s="1"/>
  <c r="J20" i="3" s="1"/>
  <c r="J12" i="18"/>
  <c r="J11" i="19" s="1"/>
  <c r="I12" i="3" s="1"/>
  <c r="J14" i="18"/>
  <c r="J13" i="19" s="1"/>
  <c r="I14" i="3" s="1"/>
  <c r="J15" i="18"/>
  <c r="J14" i="19" s="1"/>
  <c r="I15" i="3" s="1"/>
  <c r="E9" i="18"/>
  <c r="E8" i="19" s="1"/>
  <c r="D9" i="3" s="1"/>
  <c r="E10" i="18"/>
  <c r="E9" i="19" s="1"/>
  <c r="D10" i="3" s="1"/>
  <c r="E11" i="18"/>
  <c r="E10" i="19" s="1"/>
  <c r="D11" i="3" s="1"/>
  <c r="E21" i="18"/>
  <c r="E20" i="19" s="1"/>
  <c r="D21" i="3" s="1"/>
  <c r="B9" i="18"/>
  <c r="B8" i="19" s="1"/>
  <c r="A9" i="3" s="1"/>
  <c r="C9" i="18"/>
  <c r="K9" s="1"/>
  <c r="K8" i="19" s="1"/>
  <c r="J9" i="3" s="1"/>
  <c r="B10" i="18"/>
  <c r="B9" i="19" s="1"/>
  <c r="A10" i="3" s="1"/>
  <c r="C10" i="18"/>
  <c r="C9" i="19" s="1"/>
  <c r="B10" i="3" s="1"/>
  <c r="B11" i="18"/>
  <c r="B10" i="19" s="1"/>
  <c r="A11" i="3" s="1"/>
  <c r="C11" i="18"/>
  <c r="K11" s="1"/>
  <c r="K10" i="19" s="1"/>
  <c r="J11" i="3" s="1"/>
  <c r="B12" i="18"/>
  <c r="A12" s="1"/>
  <c r="A11" i="19" s="1"/>
  <c r="C12" i="18"/>
  <c r="C11" i="19" s="1"/>
  <c r="B12" i="3" s="1"/>
  <c r="C13" i="18"/>
  <c r="E13" s="1"/>
  <c r="E12" i="19" s="1"/>
  <c r="D13" i="3" s="1"/>
  <c r="B14" i="18"/>
  <c r="B13" i="19" s="1"/>
  <c r="A14" i="3" s="1"/>
  <c r="C14" i="18"/>
  <c r="E14" s="1"/>
  <c r="E13" i="19" s="1"/>
  <c r="D14" i="3" s="1"/>
  <c r="B15" i="18"/>
  <c r="B14" i="19" s="1"/>
  <c r="A15" i="3" s="1"/>
  <c r="C15" i="18"/>
  <c r="K15" s="1"/>
  <c r="K14" i="19" s="1"/>
  <c r="J15" i="3" s="1"/>
  <c r="B16" i="18"/>
  <c r="B15" i="19" s="1"/>
  <c r="A16" i="3" s="1"/>
  <c r="C16" i="18"/>
  <c r="C15" i="19" s="1"/>
  <c r="B16" i="3" s="1"/>
  <c r="B17" i="18"/>
  <c r="A17" s="1"/>
  <c r="A16" i="19" s="1"/>
  <c r="C17" i="18"/>
  <c r="C16" i="19" s="1"/>
  <c r="B17" i="3" s="1"/>
  <c r="B18" i="18"/>
  <c r="B17" i="19" s="1"/>
  <c r="A18" i="3" s="1"/>
  <c r="C18" i="18"/>
  <c r="E18" s="1"/>
  <c r="E17" i="19" s="1"/>
  <c r="D18" i="3" s="1"/>
  <c r="B19" i="18"/>
  <c r="B18" i="19" s="1"/>
  <c r="A19" i="3" s="1"/>
  <c r="C19" i="18"/>
  <c r="K19" s="1"/>
  <c r="K18" i="19" s="1"/>
  <c r="J19" i="3" s="1"/>
  <c r="C20" i="18"/>
  <c r="E20" s="1"/>
  <c r="E19" i="19" s="1"/>
  <c r="D20" i="3" s="1"/>
  <c r="C21" i="18"/>
  <c r="C20" i="19" s="1"/>
  <c r="B21" i="3" s="1"/>
  <c r="B22" i="18"/>
  <c r="B21" i="19" s="1"/>
  <c r="A22" i="3" s="1"/>
  <c r="C22" i="18"/>
  <c r="E22" s="1"/>
  <c r="E21" i="19" s="1"/>
  <c r="D22" i="3" s="1"/>
  <c r="B23" i="18"/>
  <c r="A23" s="1"/>
  <c r="A22" i="19" s="1"/>
  <c r="C23" i="18"/>
  <c r="K23" s="1"/>
  <c r="K22" i="19" s="1"/>
  <c r="J23" i="3" s="1"/>
  <c r="B8" i="18"/>
  <c r="B7" i="19" s="1"/>
  <c r="A8" i="3" s="1"/>
  <c r="C8" i="18"/>
  <c r="C7" i="19" s="1"/>
  <c r="B8" i="3" s="1"/>
  <c r="E59" i="36"/>
  <c r="F59"/>
  <c r="G59"/>
  <c r="H59"/>
  <c r="M42"/>
  <c r="M41"/>
  <c r="M40"/>
  <c r="M38"/>
  <c r="M37"/>
  <c r="M36"/>
  <c r="M34"/>
  <c r="M33"/>
  <c r="M32"/>
  <c r="M30"/>
  <c r="M29"/>
  <c r="M28"/>
  <c r="F51"/>
  <c r="O82"/>
  <c r="O81"/>
  <c r="O79"/>
  <c r="O78"/>
  <c r="O77"/>
  <c r="O75"/>
  <c r="O74"/>
  <c r="O73"/>
  <c r="O71"/>
  <c r="O70"/>
  <c r="O69"/>
  <c r="O68"/>
  <c r="O67"/>
  <c r="B66"/>
  <c r="A66"/>
  <c r="H62"/>
  <c r="G62"/>
  <c r="E62"/>
  <c r="H61"/>
  <c r="G61"/>
  <c r="E61"/>
  <c r="H60"/>
  <c r="G60"/>
  <c r="E60"/>
  <c r="H58"/>
  <c r="G58"/>
  <c r="E58"/>
  <c r="H57"/>
  <c r="G57"/>
  <c r="E57"/>
  <c r="H56"/>
  <c r="G56"/>
  <c r="E56"/>
  <c r="H55"/>
  <c r="G55"/>
  <c r="E55"/>
  <c r="O54"/>
  <c r="O58"/>
  <c r="O62"/>
  <c r="H54"/>
  <c r="G54"/>
  <c r="E54"/>
  <c r="O53"/>
  <c r="O57"/>
  <c r="O61"/>
  <c r="H53"/>
  <c r="G53"/>
  <c r="E53"/>
  <c r="O52"/>
  <c r="O56"/>
  <c r="O60"/>
  <c r="H52"/>
  <c r="G52"/>
  <c r="E52"/>
  <c r="O51"/>
  <c r="O55"/>
  <c r="O59"/>
  <c r="H51"/>
  <c r="G51"/>
  <c r="E51"/>
  <c r="H50"/>
  <c r="E50"/>
  <c r="H49"/>
  <c r="E49"/>
  <c r="H48"/>
  <c r="E48"/>
  <c r="H47"/>
  <c r="G47"/>
  <c r="E47"/>
  <c r="B42"/>
  <c r="B62"/>
  <c r="B82"/>
  <c r="B41"/>
  <c r="B61"/>
  <c r="B81"/>
  <c r="B40"/>
  <c r="B60"/>
  <c r="B80"/>
  <c r="B39"/>
  <c r="B59"/>
  <c r="B79"/>
  <c r="B38"/>
  <c r="B58"/>
  <c r="B78"/>
  <c r="B37"/>
  <c r="B57"/>
  <c r="B77"/>
  <c r="B36"/>
  <c r="B56"/>
  <c r="B76"/>
  <c r="B35"/>
  <c r="B55"/>
  <c r="B75"/>
  <c r="B34"/>
  <c r="B54"/>
  <c r="B74"/>
  <c r="B33"/>
  <c r="B53"/>
  <c r="B73"/>
  <c r="B32"/>
  <c r="B52"/>
  <c r="B72"/>
  <c r="B31"/>
  <c r="B51"/>
  <c r="B71"/>
  <c r="M50"/>
  <c r="B30"/>
  <c r="B50"/>
  <c r="B70"/>
  <c r="M49"/>
  <c r="B29"/>
  <c r="B49"/>
  <c r="B69"/>
  <c r="M48"/>
  <c r="B28"/>
  <c r="B48"/>
  <c r="B68"/>
  <c r="M47"/>
  <c r="B27"/>
  <c r="B47"/>
  <c r="B67"/>
  <c r="A22"/>
  <c r="A42"/>
  <c r="A62"/>
  <c r="A82"/>
  <c r="A21"/>
  <c r="A41"/>
  <c r="A61"/>
  <c r="A81"/>
  <c r="A20"/>
  <c r="A40"/>
  <c r="A60"/>
  <c r="A80" s="1"/>
  <c r="B21" i="18" s="1"/>
  <c r="A19" i="36"/>
  <c r="A39"/>
  <c r="A59"/>
  <c r="A79" s="1"/>
  <c r="B20" i="18" s="1"/>
  <c r="A18" i="36"/>
  <c r="A38"/>
  <c r="A58"/>
  <c r="A78"/>
  <c r="A17"/>
  <c r="A37"/>
  <c r="A57"/>
  <c r="A77"/>
  <c r="A16"/>
  <c r="A36"/>
  <c r="A56"/>
  <c r="A76"/>
  <c r="A15"/>
  <c r="A35"/>
  <c r="A55"/>
  <c r="A75"/>
  <c r="A14"/>
  <c r="A34"/>
  <c r="A54"/>
  <c r="A74"/>
  <c r="A13"/>
  <c r="A33"/>
  <c r="A53"/>
  <c r="A73"/>
  <c r="G12"/>
  <c r="G16"/>
  <c r="E12"/>
  <c r="D12"/>
  <c r="D16"/>
  <c r="D20"/>
  <c r="A12"/>
  <c r="A32"/>
  <c r="A52"/>
  <c r="A72" s="1"/>
  <c r="B13" i="18" s="1"/>
  <c r="E11" i="36"/>
  <c r="E15"/>
  <c r="E19"/>
  <c r="D11"/>
  <c r="D15"/>
  <c r="D19"/>
  <c r="A11"/>
  <c r="A31"/>
  <c r="A51"/>
  <c r="A71"/>
  <c r="A10"/>
  <c r="A30"/>
  <c r="A50"/>
  <c r="A70"/>
  <c r="A9"/>
  <c r="A29"/>
  <c r="A49"/>
  <c r="A69"/>
  <c r="A8"/>
  <c r="A28"/>
  <c r="A48"/>
  <c r="A68"/>
  <c r="A7"/>
  <c r="A27"/>
  <c r="A47"/>
  <c r="A67"/>
  <c r="Q3"/>
  <c r="Q4"/>
  <c r="O72"/>
  <c r="E16"/>
  <c r="E20"/>
  <c r="F47"/>
  <c r="F32"/>
  <c r="F52"/>
  <c r="F55"/>
  <c r="F36"/>
  <c r="M59"/>
  <c r="F8"/>
  <c r="F12" s="1"/>
  <c r="M14"/>
  <c r="L62"/>
  <c r="O76"/>
  <c r="G20"/>
  <c r="O80"/>
  <c r="F40"/>
  <c r="M10"/>
  <c r="M18"/>
  <c r="M22"/>
  <c r="F28"/>
  <c r="F33"/>
  <c r="F53"/>
  <c r="M51"/>
  <c r="F60"/>
  <c r="F41"/>
  <c r="F48"/>
  <c r="F29"/>
  <c r="M52"/>
  <c r="F37"/>
  <c r="F56"/>
  <c r="M60"/>
  <c r="F34"/>
  <c r="F54"/>
  <c r="M53"/>
  <c r="F42"/>
  <c r="F61"/>
  <c r="M61"/>
  <c r="M55"/>
  <c r="F57"/>
  <c r="F38"/>
  <c r="F49"/>
  <c r="F30"/>
  <c r="M54"/>
  <c r="F50"/>
  <c r="F58"/>
  <c r="M56"/>
  <c r="M62"/>
  <c r="N62"/>
  <c r="N42"/>
  <c r="F62"/>
  <c r="M57"/>
  <c r="M58"/>
  <c r="A81" i="8"/>
  <c r="G3" i="40" s="1"/>
  <c r="B81" i="8"/>
  <c r="H3" i="40" s="1"/>
  <c r="A82" i="8"/>
  <c r="G4" i="40" s="1"/>
  <c r="B82" i="8"/>
  <c r="A83"/>
  <c r="G5" i="40" s="1"/>
  <c r="B83" i="8"/>
  <c r="H5" i="40" s="1"/>
  <c r="A84" i="8"/>
  <c r="G6" i="40" s="1"/>
  <c r="B84" i="8"/>
  <c r="H6" i="40" s="1"/>
  <c r="A85" i="8"/>
  <c r="G7" i="40" s="1"/>
  <c r="B85" i="8"/>
  <c r="H7" i="40" s="1"/>
  <c r="A86" i="8"/>
  <c r="G8" i="40" s="1"/>
  <c r="B86" i="8"/>
  <c r="H8" i="40" s="1"/>
  <c r="A87" i="8"/>
  <c r="G9" i="40" s="1"/>
  <c r="B87" i="8"/>
  <c r="H9" i="40" s="1"/>
  <c r="A88" i="8"/>
  <c r="G10" i="40" s="1"/>
  <c r="B88" i="8"/>
  <c r="H10" i="40" s="1"/>
  <c r="A89" i="8"/>
  <c r="G11" i="40" s="1"/>
  <c r="B89" i="8"/>
  <c r="H11" i="40" s="1"/>
  <c r="A90" i="8"/>
  <c r="G12" i="40" s="1"/>
  <c r="B90" i="8"/>
  <c r="H12" i="40" s="1"/>
  <c r="A91" i="8"/>
  <c r="G13" i="40" s="1"/>
  <c r="B91" i="8"/>
  <c r="H13" i="40" s="1"/>
  <c r="A92" i="8"/>
  <c r="G14" i="40" s="1"/>
  <c r="B92" i="8"/>
  <c r="H14" i="40" s="1"/>
  <c r="A93" i="8"/>
  <c r="G15" i="40" s="1"/>
  <c r="B93" i="8"/>
  <c r="H15" i="40" s="1"/>
  <c r="A94" i="8"/>
  <c r="G16" i="40" s="1"/>
  <c r="B94" i="8"/>
  <c r="H16" i="40" s="1"/>
  <c r="A95" i="8"/>
  <c r="G17" i="40" s="1"/>
  <c r="B95" i="8"/>
  <c r="H17" i="40" s="1"/>
  <c r="A96" i="8"/>
  <c r="G18" i="40" s="1"/>
  <c r="B96" i="8"/>
  <c r="H18" i="40" s="1"/>
  <c r="D65" i="8"/>
  <c r="D66"/>
  <c r="D67"/>
  <c r="D68"/>
  <c r="D57"/>
  <c r="D58"/>
  <c r="D59"/>
  <c r="D60"/>
  <c r="D61"/>
  <c r="D62"/>
  <c r="D63"/>
  <c r="D64"/>
  <c r="B13"/>
  <c r="B14"/>
  <c r="B15"/>
  <c r="B16"/>
  <c r="B17"/>
  <c r="B18"/>
  <c r="B19"/>
  <c r="B20"/>
  <c r="B21"/>
  <c r="B22"/>
  <c r="B23"/>
  <c r="B24"/>
  <c r="B25"/>
  <c r="B26"/>
  <c r="B27"/>
  <c r="B28"/>
  <c r="X12"/>
  <c r="W12"/>
  <c r="V12"/>
  <c r="U12"/>
  <c r="T12"/>
  <c r="S12"/>
  <c r="R12"/>
  <c r="Q12"/>
  <c r="P12"/>
  <c r="O12"/>
  <c r="N12"/>
  <c r="M12"/>
  <c r="L12"/>
  <c r="K12"/>
  <c r="J12"/>
  <c r="I12"/>
  <c r="H12"/>
  <c r="G12"/>
  <c r="F12"/>
  <c r="E12"/>
  <c r="X142"/>
  <c r="W142"/>
  <c r="V142"/>
  <c r="U142"/>
  <c r="T142"/>
  <c r="S142"/>
  <c r="R142"/>
  <c r="Q142"/>
  <c r="P142"/>
  <c r="O142"/>
  <c r="N142"/>
  <c r="M142"/>
  <c r="L142"/>
  <c r="K142"/>
  <c r="J142"/>
  <c r="I142"/>
  <c r="H142"/>
  <c r="G142"/>
  <c r="F142"/>
  <c r="E142"/>
  <c r="X105"/>
  <c r="W105"/>
  <c r="V105"/>
  <c r="U105"/>
  <c r="T105"/>
  <c r="S105"/>
  <c r="R105"/>
  <c r="Q105"/>
  <c r="P105"/>
  <c r="O105"/>
  <c r="N105"/>
  <c r="M105"/>
  <c r="L105"/>
  <c r="K105"/>
  <c r="J105"/>
  <c r="I105"/>
  <c r="H105"/>
  <c r="G105"/>
  <c r="F105"/>
  <c r="E105"/>
  <c r="X80"/>
  <c r="W80"/>
  <c r="V80"/>
  <c r="U80"/>
  <c r="T80"/>
  <c r="S80"/>
  <c r="R80"/>
  <c r="Q80"/>
  <c r="P80"/>
  <c r="O80"/>
  <c r="N80"/>
  <c r="M80"/>
  <c r="L80"/>
  <c r="K80"/>
  <c r="J80"/>
  <c r="I80"/>
  <c r="H80"/>
  <c r="G80"/>
  <c r="F80"/>
  <c r="E80"/>
  <c r="A11"/>
  <c r="X141"/>
  <c r="W141"/>
  <c r="V141"/>
  <c r="U141"/>
  <c r="T141"/>
  <c r="S141"/>
  <c r="R141"/>
  <c r="Q141"/>
  <c r="P141"/>
  <c r="O141"/>
  <c r="N141"/>
  <c r="M141"/>
  <c r="L141"/>
  <c r="K141"/>
  <c r="J141"/>
  <c r="I141"/>
  <c r="H141"/>
  <c r="G141"/>
  <c r="F141"/>
  <c r="E141"/>
  <c r="X104"/>
  <c r="W104"/>
  <c r="V104"/>
  <c r="U104"/>
  <c r="T104"/>
  <c r="S104"/>
  <c r="R104"/>
  <c r="Q104"/>
  <c r="P104"/>
  <c r="O104"/>
  <c r="N104"/>
  <c r="M104"/>
  <c r="L104"/>
  <c r="K104"/>
  <c r="J104"/>
  <c r="I104"/>
  <c r="H104"/>
  <c r="G104"/>
  <c r="F104"/>
  <c r="E104"/>
  <c r="X79"/>
  <c r="W79"/>
  <c r="V79"/>
  <c r="U79"/>
  <c r="T79"/>
  <c r="S79"/>
  <c r="R79"/>
  <c r="Q79"/>
  <c r="P79"/>
  <c r="O79"/>
  <c r="N79"/>
  <c r="M79"/>
  <c r="L79"/>
  <c r="K79"/>
  <c r="J79"/>
  <c r="I79"/>
  <c r="H79"/>
  <c r="G79"/>
  <c r="F79"/>
  <c r="E79"/>
  <c r="C78"/>
  <c r="C34"/>
  <c r="D141" s="1"/>
  <c r="C56"/>
  <c r="X56" s="1"/>
  <c r="C52" i="36"/>
  <c r="C12"/>
  <c r="L72" s="1"/>
  <c r="F13" i="18" s="1"/>
  <c r="F12" i="19" s="1"/>
  <c r="E13" i="3" s="1"/>
  <c r="C51" i="36"/>
  <c r="C11"/>
  <c r="L71" s="1"/>
  <c r="F12" i="18" s="1"/>
  <c r="F11" i="19" s="1"/>
  <c r="E12" i="3" s="1"/>
  <c r="E14" i="36"/>
  <c r="M74" s="1"/>
  <c r="G15" i="18" s="1"/>
  <c r="G14" i="19" s="1"/>
  <c r="F15" i="3" s="1"/>
  <c r="C54" i="36"/>
  <c r="C14"/>
  <c r="C13"/>
  <c r="L73" s="1"/>
  <c r="F14" i="18" s="1"/>
  <c r="F13" i="19" s="1"/>
  <c r="E14" i="3" s="1"/>
  <c r="E13" i="36"/>
  <c r="M73" s="1"/>
  <c r="G14" i="18" s="1"/>
  <c r="G13" i="19" s="1"/>
  <c r="F14" i="3" s="1"/>
  <c r="C53" i="36"/>
  <c r="N73"/>
  <c r="N74"/>
  <c r="M71"/>
  <c r="G12" i="18" s="1"/>
  <c r="G11" i="19" s="1"/>
  <c r="F12" i="3" s="1"/>
  <c r="N71" i="36"/>
  <c r="M72"/>
  <c r="G13" i="18" s="1"/>
  <c r="G12" i="19" s="1"/>
  <c r="F13" i="3" s="1"/>
  <c r="E23" i="18" l="1"/>
  <c r="E22" i="19" s="1"/>
  <c r="D23" i="3" s="1"/>
  <c r="E19" i="18"/>
  <c r="E18" i="19" s="1"/>
  <c r="D19" i="3" s="1"/>
  <c r="E15" i="18"/>
  <c r="E14" i="19" s="1"/>
  <c r="D15" i="3" s="1"/>
  <c r="K8" i="18"/>
  <c r="K7" i="19" s="1"/>
  <c r="J8" i="3" s="1"/>
  <c r="K16" i="18"/>
  <c r="K15" i="19" s="1"/>
  <c r="J16" i="3" s="1"/>
  <c r="A9" i="18"/>
  <c r="A8" i="19" s="1"/>
  <c r="C21"/>
  <c r="B22" i="3" s="1"/>
  <c r="C17" i="19"/>
  <c r="B18" i="3" s="1"/>
  <c r="C14" i="19"/>
  <c r="B15" i="3" s="1"/>
  <c r="C12" i="19"/>
  <c r="B13" i="3" s="1"/>
  <c r="E8" i="18"/>
  <c r="E7" i="19" s="1"/>
  <c r="D8" i="3" s="1"/>
  <c r="E16" i="18"/>
  <c r="E15" i="19" s="1"/>
  <c r="D16" i="3" s="1"/>
  <c r="E12" i="18"/>
  <c r="E11" i="19" s="1"/>
  <c r="D12" i="3" s="1"/>
  <c r="K21" i="18"/>
  <c r="K20" i="19" s="1"/>
  <c r="J21" i="3" s="1"/>
  <c r="K17" i="18"/>
  <c r="K16" i="19" s="1"/>
  <c r="J17" i="3" s="1"/>
  <c r="K13" i="18"/>
  <c r="K12" i="19" s="1"/>
  <c r="J13" i="3" s="1"/>
  <c r="A19" i="18"/>
  <c r="A18" i="19" s="1"/>
  <c r="A15" i="18"/>
  <c r="A14" i="19" s="1"/>
  <c r="A10" i="18"/>
  <c r="A9" i="19" s="1"/>
  <c r="B22"/>
  <c r="A23" i="3" s="1"/>
  <c r="B16" i="19"/>
  <c r="A17" i="3" s="1"/>
  <c r="B11" i="19"/>
  <c r="A12" i="3" s="1"/>
  <c r="C22" i="19"/>
  <c r="B23" i="3" s="1"/>
  <c r="C18" i="19"/>
  <c r="B19" i="3" s="1"/>
  <c r="E17" i="18"/>
  <c r="E16" i="19" s="1"/>
  <c r="D17" i="3" s="1"/>
  <c r="K22" i="18"/>
  <c r="K21" i="19" s="1"/>
  <c r="J22" i="3" s="1"/>
  <c r="A11" i="18"/>
  <c r="A10" i="19" s="1"/>
  <c r="C13"/>
  <c r="B14" i="3" s="1"/>
  <c r="L74" i="36"/>
  <c r="F15" i="18" s="1"/>
  <c r="F14" i="19" s="1"/>
  <c r="E15" i="3" s="1"/>
  <c r="B20" i="19"/>
  <c r="A21" i="3" s="1"/>
  <c r="A21" i="18"/>
  <c r="A20" i="19" s="1"/>
  <c r="D12" i="37"/>
  <c r="E9"/>
  <c r="C40" i="36" s="1"/>
  <c r="C20" s="1"/>
  <c r="I39"/>
  <c r="E36" i="8"/>
  <c r="E49"/>
  <c r="B12" i="37"/>
  <c r="I38" i="36"/>
  <c r="D35"/>
  <c r="D55" s="1"/>
  <c r="J55" s="1"/>
  <c r="K55" s="1"/>
  <c r="P55" s="1"/>
  <c r="Q55" s="1"/>
  <c r="S55" s="1"/>
  <c r="F106" i="8"/>
  <c r="F143" s="1"/>
  <c r="H4" i="40"/>
  <c r="F16" i="36"/>
  <c r="F20" s="1"/>
  <c r="N72"/>
  <c r="J13" i="18" s="1"/>
  <c r="J12" i="19" s="1"/>
  <c r="I13" i="3" s="1"/>
  <c r="X106" i="8"/>
  <c r="X143" s="1"/>
  <c r="B19" i="19"/>
  <c r="A20" i="3" s="1"/>
  <c r="A20" i="18"/>
  <c r="A19" i="19" s="1"/>
  <c r="E37" i="8"/>
  <c r="E45"/>
  <c r="E8" i="37"/>
  <c r="A13" i="18"/>
  <c r="A12" i="19" s="1"/>
  <c r="B12"/>
  <c r="A13" i="3" s="1"/>
  <c r="L40" i="36"/>
  <c r="N40" s="1"/>
  <c r="D39"/>
  <c r="D59" s="1"/>
  <c r="J59" s="1"/>
  <c r="K59" s="1"/>
  <c r="P59" s="1"/>
  <c r="Q59" s="1"/>
  <c r="S59" s="1"/>
  <c r="D41"/>
  <c r="D61" s="1"/>
  <c r="J61" s="1"/>
  <c r="K61" s="1"/>
  <c r="P61" s="1"/>
  <c r="Q61" s="1"/>
  <c r="S61" s="1"/>
  <c r="I42"/>
  <c r="L53"/>
  <c r="N53" s="1"/>
  <c r="R53" s="1"/>
  <c r="I35"/>
  <c r="E56" i="8"/>
  <c r="I56"/>
  <c r="M56"/>
  <c r="Q56"/>
  <c r="U56"/>
  <c r="G56"/>
  <c r="K56"/>
  <c r="O56"/>
  <c r="S56"/>
  <c r="W56"/>
  <c r="A55"/>
  <c r="F56"/>
  <c r="J56"/>
  <c r="N56"/>
  <c r="R56"/>
  <c r="V56"/>
  <c r="A33"/>
  <c r="H56"/>
  <c r="L56"/>
  <c r="P56"/>
  <c r="T56"/>
  <c r="L27" i="36"/>
  <c r="L47" s="1"/>
  <c r="N47" s="1"/>
  <c r="M106" i="8"/>
  <c r="M143" s="1"/>
  <c r="G106"/>
  <c r="G143" s="1"/>
  <c r="R106"/>
  <c r="R143" s="1"/>
  <c r="W106"/>
  <c r="W143" s="1"/>
  <c r="Q106"/>
  <c r="Q143" s="1"/>
  <c r="H106"/>
  <c r="H143" s="1"/>
  <c r="V106"/>
  <c r="V143" s="1"/>
  <c r="K106"/>
  <c r="K143" s="1"/>
  <c r="E106"/>
  <c r="E143" s="1"/>
  <c r="T106"/>
  <c r="T143" s="1"/>
  <c r="J106"/>
  <c r="J143" s="1"/>
  <c r="O106"/>
  <c r="O143" s="1"/>
  <c r="L106"/>
  <c r="L143" s="1"/>
  <c r="Y106"/>
  <c r="Y143" s="1"/>
  <c r="U106"/>
  <c r="U143" s="1"/>
  <c r="I106"/>
  <c r="I143" s="1"/>
  <c r="N106"/>
  <c r="N143" s="1"/>
  <c r="S106"/>
  <c r="S143" s="1"/>
  <c r="P106"/>
  <c r="P143" s="1"/>
  <c r="D8" i="37"/>
  <c r="U33" i="36"/>
  <c r="V33" s="1"/>
  <c r="R33"/>
  <c r="N39"/>
  <c r="L59"/>
  <c r="N59" s="1"/>
  <c r="J42"/>
  <c r="K42" s="1"/>
  <c r="P42" s="1"/>
  <c r="Q42" s="1"/>
  <c r="S42" s="1"/>
  <c r="D62"/>
  <c r="J62" s="1"/>
  <c r="K62" s="1"/>
  <c r="P62" s="1"/>
  <c r="Q62" s="1"/>
  <c r="S62" s="1"/>
  <c r="N36"/>
  <c r="L56"/>
  <c r="N56" s="1"/>
  <c r="D57"/>
  <c r="J57" s="1"/>
  <c r="K57" s="1"/>
  <c r="P57" s="1"/>
  <c r="Q57" s="1"/>
  <c r="S57" s="1"/>
  <c r="J37"/>
  <c r="K37" s="1"/>
  <c r="P37" s="1"/>
  <c r="Q37" s="1"/>
  <c r="S37" s="1"/>
  <c r="D38"/>
  <c r="L50"/>
  <c r="N50" s="1"/>
  <c r="L35"/>
  <c r="L55" s="1"/>
  <c r="N55" s="1"/>
  <c r="E41" i="8"/>
  <c r="D36" i="36"/>
  <c r="D40"/>
  <c r="N38"/>
  <c r="D9" i="37"/>
  <c r="N41" i="36"/>
  <c r="E30" i="8"/>
  <c r="E48"/>
  <c r="E35"/>
  <c r="E43"/>
  <c r="N37" i="36"/>
  <c r="L57"/>
  <c r="N57" s="1"/>
  <c r="C8" i="37"/>
  <c r="C9"/>
  <c r="L31" i="36"/>
  <c r="L32"/>
  <c r="E40" i="8"/>
  <c r="E44"/>
  <c r="E39"/>
  <c r="E47"/>
  <c r="L49" i="36"/>
  <c r="N49" s="1"/>
  <c r="N29"/>
  <c r="D33"/>
  <c r="D31"/>
  <c r="D34"/>
  <c r="D32"/>
  <c r="I33"/>
  <c r="I31"/>
  <c r="I34"/>
  <c r="E46" i="8"/>
  <c r="L54" i="36"/>
  <c r="N54" s="1"/>
  <c r="N34"/>
  <c r="B9" i="37"/>
  <c r="B8"/>
  <c r="N28" i="36"/>
  <c r="L48"/>
  <c r="N48" s="1"/>
  <c r="D30"/>
  <c r="D27"/>
  <c r="D29"/>
  <c r="D28"/>
  <c r="I30"/>
  <c r="I27"/>
  <c r="I29"/>
  <c r="E42" i="8"/>
  <c r="N27" i="36"/>
  <c r="E38" i="8"/>
  <c r="E50"/>
  <c r="C35" i="36"/>
  <c r="C38"/>
  <c r="R40" l="1"/>
  <c r="C39"/>
  <c r="C59" s="1"/>
  <c r="U59" s="1"/>
  <c r="J35"/>
  <c r="K35" s="1"/>
  <c r="P35" s="1"/>
  <c r="Q35" s="1"/>
  <c r="S35" s="1"/>
  <c r="C60"/>
  <c r="M80" s="1"/>
  <c r="G21" i="18" s="1"/>
  <c r="G20" i="19" s="1"/>
  <c r="F21" i="3" s="1"/>
  <c r="C42" i="36"/>
  <c r="E22" s="1"/>
  <c r="C41"/>
  <c r="U41" s="1"/>
  <c r="V41" s="1"/>
  <c r="L80"/>
  <c r="F21" i="18" s="1"/>
  <c r="F20" i="19" s="1"/>
  <c r="E21" i="3" s="1"/>
  <c r="U40" i="36"/>
  <c r="V40" s="1"/>
  <c r="E59" i="8"/>
  <c r="E83" s="1"/>
  <c r="K5" i="40" s="1"/>
  <c r="L60" i="36"/>
  <c r="N60" s="1"/>
  <c r="U53"/>
  <c r="V53" s="1"/>
  <c r="I73" s="1"/>
  <c r="K73" s="1"/>
  <c r="J41"/>
  <c r="K41" s="1"/>
  <c r="P41" s="1"/>
  <c r="Q41" s="1"/>
  <c r="S41" s="1"/>
  <c r="N80"/>
  <c r="J21" i="18" s="1"/>
  <c r="J20" i="19" s="1"/>
  <c r="I21" i="3" s="1"/>
  <c r="J39" i="36"/>
  <c r="K39" s="1"/>
  <c r="P39" s="1"/>
  <c r="Q39" s="1"/>
  <c r="S39" s="1"/>
  <c r="E72" i="8"/>
  <c r="E96" s="1"/>
  <c r="K18" i="40" s="1"/>
  <c r="E69" i="8"/>
  <c r="E93" s="1"/>
  <c r="K15" i="40" s="1"/>
  <c r="E61" i="8"/>
  <c r="E85" s="1"/>
  <c r="K7" i="40" s="1"/>
  <c r="E66" i="8"/>
  <c r="E90" s="1"/>
  <c r="K12" i="40" s="1"/>
  <c r="E70" i="8"/>
  <c r="E94" s="1"/>
  <c r="K16" i="40" s="1"/>
  <c r="E60" i="8"/>
  <c r="E84" s="1"/>
  <c r="K6" i="40" s="1"/>
  <c r="E68" i="8"/>
  <c r="E92" s="1"/>
  <c r="K14" i="40" s="1"/>
  <c r="E58" i="8"/>
  <c r="E82" s="1"/>
  <c r="K4" i="40" s="1"/>
  <c r="E67" i="8"/>
  <c r="E91" s="1"/>
  <c r="K13" i="40" s="1"/>
  <c r="E71" i="8"/>
  <c r="E95" s="1"/>
  <c r="K17" i="40" s="1"/>
  <c r="E65" i="8"/>
  <c r="E89" s="1"/>
  <c r="K11" i="40" s="1"/>
  <c r="E63" i="8"/>
  <c r="E87" s="1"/>
  <c r="K9" i="40" s="1"/>
  <c r="E64" i="8"/>
  <c r="E88" s="1"/>
  <c r="K10" i="40" s="1"/>
  <c r="E62" i="8"/>
  <c r="E86" s="1"/>
  <c r="K8" i="40" s="1"/>
  <c r="D56" i="36"/>
  <c r="J56" s="1"/>
  <c r="K56" s="1"/>
  <c r="P56" s="1"/>
  <c r="Q56" s="1"/>
  <c r="S56" s="1"/>
  <c r="J36"/>
  <c r="K36" s="1"/>
  <c r="P36" s="1"/>
  <c r="Q36" s="1"/>
  <c r="S36" s="1"/>
  <c r="J40"/>
  <c r="K40" s="1"/>
  <c r="P40" s="1"/>
  <c r="Q40" s="1"/>
  <c r="S40" s="1"/>
  <c r="T40" s="1"/>
  <c r="D60"/>
  <c r="J60" s="1"/>
  <c r="K60" s="1"/>
  <c r="P60" s="1"/>
  <c r="Q60" s="1"/>
  <c r="S60" s="1"/>
  <c r="J38"/>
  <c r="K38" s="1"/>
  <c r="P38" s="1"/>
  <c r="Q38" s="1"/>
  <c r="S38" s="1"/>
  <c r="D58"/>
  <c r="J58" s="1"/>
  <c r="K58" s="1"/>
  <c r="P58" s="1"/>
  <c r="Q58" s="1"/>
  <c r="S58" s="1"/>
  <c r="N35"/>
  <c r="U35" s="1"/>
  <c r="C37"/>
  <c r="C36"/>
  <c r="R36" s="1"/>
  <c r="D47"/>
  <c r="J47" s="1"/>
  <c r="K47" s="1"/>
  <c r="P47" s="1"/>
  <c r="Q47" s="1"/>
  <c r="S47" s="1"/>
  <c r="J27"/>
  <c r="K27" s="1"/>
  <c r="P27" s="1"/>
  <c r="Q27" s="1"/>
  <c r="S27" s="1"/>
  <c r="C15"/>
  <c r="C55"/>
  <c r="R55" s="1"/>
  <c r="T55" s="1"/>
  <c r="D48"/>
  <c r="J48" s="1"/>
  <c r="K48" s="1"/>
  <c r="P48" s="1"/>
  <c r="Q48" s="1"/>
  <c r="S48" s="1"/>
  <c r="J28"/>
  <c r="K28" s="1"/>
  <c r="P28" s="1"/>
  <c r="Q28" s="1"/>
  <c r="S28" s="1"/>
  <c r="R34"/>
  <c r="U34"/>
  <c r="D53"/>
  <c r="J53" s="1"/>
  <c r="K53" s="1"/>
  <c r="P53" s="1"/>
  <c r="Q53" s="1"/>
  <c r="S53" s="1"/>
  <c r="T53" s="1"/>
  <c r="J33"/>
  <c r="K33" s="1"/>
  <c r="P33" s="1"/>
  <c r="Q33" s="1"/>
  <c r="S33" s="1"/>
  <c r="T33" s="1"/>
  <c r="N32"/>
  <c r="L52"/>
  <c r="N52" s="1"/>
  <c r="J34"/>
  <c r="K34" s="1"/>
  <c r="P34" s="1"/>
  <c r="Q34" s="1"/>
  <c r="S34" s="1"/>
  <c r="D54"/>
  <c r="J54" s="1"/>
  <c r="K54" s="1"/>
  <c r="P54" s="1"/>
  <c r="Q54" s="1"/>
  <c r="S54" s="1"/>
  <c r="J29"/>
  <c r="K29" s="1"/>
  <c r="P29" s="1"/>
  <c r="Q29" s="1"/>
  <c r="S29" s="1"/>
  <c r="D49"/>
  <c r="J49" s="1"/>
  <c r="K49" s="1"/>
  <c r="P49" s="1"/>
  <c r="Q49" s="1"/>
  <c r="S49" s="1"/>
  <c r="U54"/>
  <c r="V54" s="1"/>
  <c r="R54"/>
  <c r="D52"/>
  <c r="J52" s="1"/>
  <c r="K52" s="1"/>
  <c r="P52" s="1"/>
  <c r="Q52" s="1"/>
  <c r="S52" s="1"/>
  <c r="J32"/>
  <c r="K32" s="1"/>
  <c r="P32" s="1"/>
  <c r="Q32" s="1"/>
  <c r="S32" s="1"/>
  <c r="N31"/>
  <c r="L51"/>
  <c r="N51" s="1"/>
  <c r="C18"/>
  <c r="U38"/>
  <c r="C58"/>
  <c r="E18"/>
  <c r="R38"/>
  <c r="D50"/>
  <c r="J50" s="1"/>
  <c r="K50" s="1"/>
  <c r="P50" s="1"/>
  <c r="Q50" s="1"/>
  <c r="S50" s="1"/>
  <c r="J30"/>
  <c r="K30" s="1"/>
  <c r="P30" s="1"/>
  <c r="Q30" s="1"/>
  <c r="S30" s="1"/>
  <c r="C29"/>
  <c r="R29" s="1"/>
  <c r="C28"/>
  <c r="R28" s="1"/>
  <c r="C30"/>
  <c r="C27"/>
  <c r="R27" s="1"/>
  <c r="J31"/>
  <c r="K31" s="1"/>
  <c r="P31" s="1"/>
  <c r="Q31" s="1"/>
  <c r="S31" s="1"/>
  <c r="D51"/>
  <c r="J51" s="1"/>
  <c r="K51" s="1"/>
  <c r="P51" s="1"/>
  <c r="Q51" s="1"/>
  <c r="S51" s="1"/>
  <c r="E52" i="8"/>
  <c r="E57"/>
  <c r="U60" i="36" l="1"/>
  <c r="V60" s="1"/>
  <c r="I80" s="1"/>
  <c r="K80" s="1"/>
  <c r="R42"/>
  <c r="T42" s="1"/>
  <c r="Y42" s="1"/>
  <c r="U42"/>
  <c r="V42" s="1"/>
  <c r="C19"/>
  <c r="L79" s="1"/>
  <c r="F20" i="18" s="1"/>
  <c r="F19" i="19" s="1"/>
  <c r="E20" i="3" s="1"/>
  <c r="N79" i="36"/>
  <c r="J20" i="18" s="1"/>
  <c r="J19" i="19" s="1"/>
  <c r="I20" i="3" s="1"/>
  <c r="R59" i="36"/>
  <c r="T59" s="1"/>
  <c r="W59" s="1"/>
  <c r="U39"/>
  <c r="V39" s="1"/>
  <c r="M79"/>
  <c r="G20" i="18" s="1"/>
  <c r="G19" i="19" s="1"/>
  <c r="F20" i="3" s="1"/>
  <c r="R39" i="36"/>
  <c r="T39" s="1"/>
  <c r="Y39" s="1"/>
  <c r="R41"/>
  <c r="T41" s="1"/>
  <c r="Y41" s="1"/>
  <c r="C61"/>
  <c r="R61" s="1"/>
  <c r="T61" s="1"/>
  <c r="C22"/>
  <c r="C62"/>
  <c r="E21"/>
  <c r="C21"/>
  <c r="R60"/>
  <c r="T60" s="1"/>
  <c r="W60" s="1"/>
  <c r="M82"/>
  <c r="G23" i="18" s="1"/>
  <c r="G22" i="19" s="1"/>
  <c r="F23" i="3" s="1"/>
  <c r="W53" i="36"/>
  <c r="G73"/>
  <c r="T54"/>
  <c r="T27"/>
  <c r="Y27" s="1"/>
  <c r="R35"/>
  <c r="T35" s="1"/>
  <c r="W35" s="1"/>
  <c r="T36"/>
  <c r="Y36" s="1"/>
  <c r="T28"/>
  <c r="Y28" s="1"/>
  <c r="C57"/>
  <c r="C17"/>
  <c r="E17"/>
  <c r="U37"/>
  <c r="C16"/>
  <c r="C56"/>
  <c r="U36"/>
  <c r="W54"/>
  <c r="R37"/>
  <c r="T37" s="1"/>
  <c r="T38"/>
  <c r="Y38" s="1"/>
  <c r="W40"/>
  <c r="Y40"/>
  <c r="N78"/>
  <c r="J19" i="18" s="1"/>
  <c r="J18" i="19" s="1"/>
  <c r="I19" i="3" s="1"/>
  <c r="U58" i="36"/>
  <c r="V58" s="1"/>
  <c r="R58"/>
  <c r="T58" s="1"/>
  <c r="R51"/>
  <c r="T51" s="1"/>
  <c r="U51"/>
  <c r="V51" s="1"/>
  <c r="V59"/>
  <c r="V34"/>
  <c r="I74" s="1"/>
  <c r="K74" s="1"/>
  <c r="G74"/>
  <c r="C49"/>
  <c r="U29"/>
  <c r="C9"/>
  <c r="E9"/>
  <c r="R32"/>
  <c r="T32" s="1"/>
  <c r="U32"/>
  <c r="N75"/>
  <c r="J16" i="18" s="1"/>
  <c r="J15" i="19" s="1"/>
  <c r="I16" i="3" s="1"/>
  <c r="M75" i="36"/>
  <c r="G16" i="18" s="1"/>
  <c r="G15" i="19" s="1"/>
  <c r="F16" i="3" s="1"/>
  <c r="U55" i="36"/>
  <c r="V55" s="1"/>
  <c r="L75"/>
  <c r="F16" i="18" s="1"/>
  <c r="F15" i="19" s="1"/>
  <c r="E16" i="3" s="1"/>
  <c r="M78" i="36"/>
  <c r="G19" i="18" s="1"/>
  <c r="G18" i="19" s="1"/>
  <c r="F19" i="3" s="1"/>
  <c r="T29" i="36"/>
  <c r="E10"/>
  <c r="U30"/>
  <c r="C50"/>
  <c r="C10"/>
  <c r="R30"/>
  <c r="T30" s="1"/>
  <c r="U27"/>
  <c r="C7"/>
  <c r="C47"/>
  <c r="Y33"/>
  <c r="W33"/>
  <c r="C73"/>
  <c r="V35"/>
  <c r="E81" i="8"/>
  <c r="K3" i="40" s="1"/>
  <c r="E74" i="8"/>
  <c r="U28" i="36"/>
  <c r="C48"/>
  <c r="C8"/>
  <c r="V38"/>
  <c r="R31"/>
  <c r="T31" s="1"/>
  <c r="U31"/>
  <c r="U52"/>
  <c r="V52" s="1"/>
  <c r="R52"/>
  <c r="T52" s="1"/>
  <c r="T34"/>
  <c r="L78"/>
  <c r="F19" i="18" s="1"/>
  <c r="F18" i="19" s="1"/>
  <c r="E19" i="3" s="1"/>
  <c r="G80" i="36" l="1"/>
  <c r="I79"/>
  <c r="K79" s="1"/>
  <c r="G79"/>
  <c r="W42"/>
  <c r="L82"/>
  <c r="F23" i="18" s="1"/>
  <c r="F22" i="19" s="1"/>
  <c r="E23" i="3" s="1"/>
  <c r="C75" i="36"/>
  <c r="E75" s="1"/>
  <c r="F75" s="1"/>
  <c r="D16" i="18" s="1"/>
  <c r="D15" i="19" s="1"/>
  <c r="C16" i="3" s="1"/>
  <c r="L81" i="36"/>
  <c r="F22" i="18" s="1"/>
  <c r="F21" i="19" s="1"/>
  <c r="E22" i="3" s="1"/>
  <c r="M81" i="36"/>
  <c r="G22" i="18" s="1"/>
  <c r="G21" i="19" s="1"/>
  <c r="F22" i="3" s="1"/>
  <c r="H73" i="36"/>
  <c r="N81"/>
  <c r="J22" i="18" s="1"/>
  <c r="J21" i="19" s="1"/>
  <c r="I22" i="3" s="1"/>
  <c r="C79" i="36"/>
  <c r="U61"/>
  <c r="V61" s="1"/>
  <c r="I81" s="1"/>
  <c r="K81" s="1"/>
  <c r="R62"/>
  <c r="T62" s="1"/>
  <c r="U62"/>
  <c r="N82"/>
  <c r="J23" i="18" s="1"/>
  <c r="J22" i="19" s="1"/>
  <c r="I23" i="3" s="1"/>
  <c r="W39" i="36"/>
  <c r="H79" s="1"/>
  <c r="W38"/>
  <c r="W41"/>
  <c r="I75"/>
  <c r="K75" s="1"/>
  <c r="C81"/>
  <c r="H80"/>
  <c r="C80"/>
  <c r="I78"/>
  <c r="K78" s="1"/>
  <c r="C78"/>
  <c r="E78" s="1"/>
  <c r="F78" s="1"/>
  <c r="D19" i="18" s="1"/>
  <c r="D18" i="19" s="1"/>
  <c r="C19" i="3" s="1"/>
  <c r="W52" i="36"/>
  <c r="Y35"/>
  <c r="W55"/>
  <c r="H75" s="1"/>
  <c r="W51"/>
  <c r="G75"/>
  <c r="L67"/>
  <c r="F8" i="18" s="1"/>
  <c r="F7" i="19" s="1"/>
  <c r="E8" i="3" s="1"/>
  <c r="V36" i="36"/>
  <c r="W36"/>
  <c r="R57"/>
  <c r="T57" s="1"/>
  <c r="N77"/>
  <c r="J18" i="18" s="1"/>
  <c r="J17" i="19" s="1"/>
  <c r="I18" i="3" s="1"/>
  <c r="L77" i="36"/>
  <c r="F18" i="18" s="1"/>
  <c r="F17" i="19" s="1"/>
  <c r="E18" i="3" s="1"/>
  <c r="U57" i="36"/>
  <c r="V57" s="1"/>
  <c r="C77"/>
  <c r="W37"/>
  <c r="Y37"/>
  <c r="L70"/>
  <c r="F11" i="18" s="1"/>
  <c r="F10" i="19" s="1"/>
  <c r="E11" i="3" s="1"/>
  <c r="M77" i="36"/>
  <c r="G18" i="18" s="1"/>
  <c r="G17" i="19" s="1"/>
  <c r="F18" i="3" s="1"/>
  <c r="R56" i="36"/>
  <c r="T56" s="1"/>
  <c r="M76"/>
  <c r="G17" i="18" s="1"/>
  <c r="G16" i="19" s="1"/>
  <c r="F17" i="3" s="1"/>
  <c r="L76" i="36"/>
  <c r="F17" i="18" s="1"/>
  <c r="F16" i="19" s="1"/>
  <c r="E17" i="3" s="1"/>
  <c r="U56" i="36"/>
  <c r="V56" s="1"/>
  <c r="N76"/>
  <c r="J17" i="18" s="1"/>
  <c r="J16" i="19" s="1"/>
  <c r="I17" i="3" s="1"/>
  <c r="V37" i="36"/>
  <c r="M70"/>
  <c r="G11" i="18" s="1"/>
  <c r="G10" i="19" s="1"/>
  <c r="F11" i="3" s="1"/>
  <c r="V29" i="36"/>
  <c r="V31"/>
  <c r="I71" s="1"/>
  <c r="K71" s="1"/>
  <c r="G71"/>
  <c r="E122" i="8"/>
  <c r="E108"/>
  <c r="E124"/>
  <c r="E135"/>
  <c r="E110"/>
  <c r="E126"/>
  <c r="E118"/>
  <c r="E130"/>
  <c r="E121"/>
  <c r="E111"/>
  <c r="E131"/>
  <c r="E113"/>
  <c r="E98"/>
  <c r="E114"/>
  <c r="E137"/>
  <c r="E129"/>
  <c r="E132"/>
  <c r="E128"/>
  <c r="E107"/>
  <c r="E144" s="1"/>
  <c r="E134"/>
  <c r="E109"/>
  <c r="E112"/>
  <c r="E149" s="1"/>
  <c r="E116"/>
  <c r="E133"/>
  <c r="E120"/>
  <c r="E119"/>
  <c r="E117"/>
  <c r="E127"/>
  <c r="E136"/>
  <c r="E115"/>
  <c r="E152" s="1"/>
  <c r="E123"/>
  <c r="E125"/>
  <c r="N67" i="36"/>
  <c r="J8" i="18" s="1"/>
  <c r="J7" i="19" s="1"/>
  <c r="I8" i="3" s="1"/>
  <c r="M67" i="36"/>
  <c r="G8" i="18" s="1"/>
  <c r="G7" i="19" s="1"/>
  <c r="F8" i="3" s="1"/>
  <c r="U47" i="36"/>
  <c r="V47" s="1"/>
  <c r="R47"/>
  <c r="T47" s="1"/>
  <c r="V30"/>
  <c r="L68"/>
  <c r="F9" i="18" s="1"/>
  <c r="F8" i="19" s="1"/>
  <c r="E9" i="3" s="1"/>
  <c r="L69" i="36"/>
  <c r="F10" i="18" s="1"/>
  <c r="F9" i="19" s="1"/>
  <c r="E10" i="3" s="1"/>
  <c r="V28" i="36"/>
  <c r="V27"/>
  <c r="V32"/>
  <c r="I72" s="1"/>
  <c r="K72" s="1"/>
  <c r="G72"/>
  <c r="U49"/>
  <c r="V49" s="1"/>
  <c r="N69"/>
  <c r="J10" i="18" s="1"/>
  <c r="J9" i="19" s="1"/>
  <c r="I10" i="3" s="1"/>
  <c r="R49" i="36"/>
  <c r="T49" s="1"/>
  <c r="C69" s="1"/>
  <c r="C71"/>
  <c r="Y31"/>
  <c r="W31"/>
  <c r="M68"/>
  <c r="G9" i="18" s="1"/>
  <c r="G8" i="19" s="1"/>
  <c r="F9" i="3" s="1"/>
  <c r="U48" i="36"/>
  <c r="V48" s="1"/>
  <c r="N68"/>
  <c r="J9" i="18" s="1"/>
  <c r="J8" i="19" s="1"/>
  <c r="I9" i="3" s="1"/>
  <c r="R48" i="36"/>
  <c r="T48" s="1"/>
  <c r="E73"/>
  <c r="F73" s="1"/>
  <c r="D14" i="18" s="1"/>
  <c r="D13" i="19" s="1"/>
  <c r="C14" i="3" s="1"/>
  <c r="J73" i="36"/>
  <c r="Y30"/>
  <c r="W30"/>
  <c r="W29"/>
  <c r="Y29"/>
  <c r="Y34"/>
  <c r="W34"/>
  <c r="H74" s="1"/>
  <c r="C74"/>
  <c r="R50"/>
  <c r="T50" s="1"/>
  <c r="C70" s="1"/>
  <c r="N70"/>
  <c r="J11" i="18" s="1"/>
  <c r="J10" i="19" s="1"/>
  <c r="I11" i="3" s="1"/>
  <c r="U50" i="36"/>
  <c r="J75"/>
  <c r="C72"/>
  <c r="W32"/>
  <c r="Y32"/>
  <c r="W27"/>
  <c r="W28"/>
  <c r="W58"/>
  <c r="H78" s="1"/>
  <c r="G78"/>
  <c r="M69"/>
  <c r="G10" i="18" s="1"/>
  <c r="G9" i="19" s="1"/>
  <c r="F10" i="3" s="1"/>
  <c r="J79" i="36" l="1"/>
  <c r="E79"/>
  <c r="F79" s="1"/>
  <c r="D20" i="18" s="1"/>
  <c r="D19" i="19" s="1"/>
  <c r="C20" i="3" s="1"/>
  <c r="G67" i="36"/>
  <c r="W61"/>
  <c r="H81" s="1"/>
  <c r="G81"/>
  <c r="W62"/>
  <c r="H82" s="1"/>
  <c r="C82"/>
  <c r="V62"/>
  <c r="I82" s="1"/>
  <c r="K82" s="1"/>
  <c r="G82"/>
  <c r="J78"/>
  <c r="E81"/>
  <c r="F81" s="1"/>
  <c r="D22" i="18" s="1"/>
  <c r="D21" i="19" s="1"/>
  <c r="C22" i="3" s="1"/>
  <c r="J81" i="36"/>
  <c r="E80"/>
  <c r="F80" s="1"/>
  <c r="D21" i="18" s="1"/>
  <c r="D20" i="19" s="1"/>
  <c r="C21" i="3" s="1"/>
  <c r="J80" i="36"/>
  <c r="H71"/>
  <c r="I67"/>
  <c r="K67" s="1"/>
  <c r="H72"/>
  <c r="E164" i="8"/>
  <c r="I77" i="36"/>
  <c r="K77" s="1"/>
  <c r="I68"/>
  <c r="K68" s="1"/>
  <c r="G68"/>
  <c r="G76"/>
  <c r="E146" i="8"/>
  <c r="E170"/>
  <c r="E160"/>
  <c r="E166"/>
  <c r="E150"/>
  <c r="G77" i="36"/>
  <c r="E157" i="8"/>
  <c r="C76" i="36"/>
  <c r="W56"/>
  <c r="H76" s="1"/>
  <c r="I76"/>
  <c r="K76" s="1"/>
  <c r="E77"/>
  <c r="F77" s="1"/>
  <c r="D18" i="18" s="1"/>
  <c r="D17" i="19" s="1"/>
  <c r="C18" i="3" s="1"/>
  <c r="J77" i="36"/>
  <c r="E153" i="8"/>
  <c r="E168"/>
  <c r="G69" i="36"/>
  <c r="W57"/>
  <c r="H77" s="1"/>
  <c r="J69"/>
  <c r="E69"/>
  <c r="F69" s="1"/>
  <c r="D10" i="18" s="1"/>
  <c r="D9" i="19" s="1"/>
  <c r="C10" i="3" s="1"/>
  <c r="E70" i="36"/>
  <c r="F70" s="1"/>
  <c r="D11" i="18" s="1"/>
  <c r="D10" i="19" s="1"/>
  <c r="C11" i="3" s="1"/>
  <c r="J70" i="36"/>
  <c r="E161" i="8"/>
  <c r="E174"/>
  <c r="E139"/>
  <c r="E154"/>
  <c r="V50" i="36"/>
  <c r="I70" s="1"/>
  <c r="K70" s="1"/>
  <c r="G70"/>
  <c r="W48"/>
  <c r="H68" s="1"/>
  <c r="C68"/>
  <c r="E72"/>
  <c r="F72" s="1"/>
  <c r="D13" i="18" s="1"/>
  <c r="D12" i="19" s="1"/>
  <c r="C13" i="3" s="1"/>
  <c r="J72" i="36"/>
  <c r="E74"/>
  <c r="F74" s="1"/>
  <c r="D15" i="18" s="1"/>
  <c r="D14" i="19" s="1"/>
  <c r="C15" i="3" s="1"/>
  <c r="J74" i="36"/>
  <c r="W47"/>
  <c r="H67" s="1"/>
  <c r="C67"/>
  <c r="E155" i="8"/>
  <c r="E162"/>
  <c r="E167"/>
  <c r="W49" i="36"/>
  <c r="H69" s="1"/>
  <c r="E156" i="8"/>
  <c r="E165"/>
  <c r="E151"/>
  <c r="E148"/>
  <c r="E163"/>
  <c r="E145"/>
  <c r="I69" i="36"/>
  <c r="K69" s="1"/>
  <c r="E71"/>
  <c r="F71" s="1"/>
  <c r="D12" i="18" s="1"/>
  <c r="D11" i="19" s="1"/>
  <c r="C12" i="3" s="1"/>
  <c r="J71" i="36"/>
  <c r="E100" i="8"/>
  <c r="E171"/>
  <c r="E172"/>
  <c r="W50" i="36"/>
  <c r="H70" s="1"/>
  <c r="E173" i="8"/>
  <c r="E169"/>
  <c r="E158"/>
  <c r="E147"/>
  <c r="E159"/>
  <c r="J82" i="36" l="1"/>
  <c r="E82"/>
  <c r="F82" s="1"/>
  <c r="D23" i="18" s="1"/>
  <c r="D22" i="19" s="1"/>
  <c r="C23" i="3" s="1"/>
  <c r="E76" i="36"/>
  <c r="F76" s="1"/>
  <c r="D17" i="18" s="1"/>
  <c r="D16" i="19" s="1"/>
  <c r="C17" i="3" s="1"/>
  <c r="J76" i="36"/>
  <c r="E176" i="8"/>
  <c r="E177" s="1"/>
  <c r="E67" i="36"/>
  <c r="F67" s="1"/>
  <c r="D8" i="18" s="1"/>
  <c r="D7" i="19" s="1"/>
  <c r="C8" i="3" s="1"/>
  <c r="J67" i="36"/>
  <c r="J68"/>
  <c r="E68"/>
  <c r="F68" s="1"/>
  <c r="D9" i="18" s="1"/>
  <c r="D8" i="19" s="1"/>
  <c r="C9" i="3" s="1"/>
  <c r="F14" i="8" l="1"/>
  <c r="G14" s="1"/>
  <c r="H14" s="1"/>
  <c r="I14" s="1"/>
  <c r="J14" s="1"/>
  <c r="K14" s="1"/>
  <c r="L14" s="1"/>
  <c r="M14" s="1"/>
  <c r="N14" s="1"/>
  <c r="O14" s="1"/>
  <c r="P14" s="1"/>
  <c r="Q14" s="1"/>
  <c r="R14" s="1"/>
  <c r="S14" s="1"/>
  <c r="T14" s="1"/>
  <c r="U14" s="1"/>
  <c r="V14" s="1"/>
  <c r="W14" s="1"/>
  <c r="X14" s="1"/>
  <c r="F16"/>
  <c r="G16" s="1"/>
  <c r="H16" s="1"/>
  <c r="I16" s="1"/>
  <c r="J16" s="1"/>
  <c r="K16" s="1"/>
  <c r="L16" s="1"/>
  <c r="M16" s="1"/>
  <c r="N16" s="1"/>
  <c r="O16" s="1"/>
  <c r="P16" s="1"/>
  <c r="Q16" s="1"/>
  <c r="R16" s="1"/>
  <c r="S16" s="1"/>
  <c r="T16" s="1"/>
  <c r="U16" s="1"/>
  <c r="V16" s="1"/>
  <c r="W16" s="1"/>
  <c r="X16" s="1"/>
  <c r="F15"/>
  <c r="G15" s="1"/>
  <c r="H15" s="1"/>
  <c r="I15" s="1"/>
  <c r="J15" s="1"/>
  <c r="K15" s="1"/>
  <c r="L15" s="1"/>
  <c r="M15" s="1"/>
  <c r="N15" s="1"/>
  <c r="O15" s="1"/>
  <c r="P15" s="1"/>
  <c r="Q15" s="1"/>
  <c r="R15" s="1"/>
  <c r="S15" s="1"/>
  <c r="T15" s="1"/>
  <c r="U15" s="1"/>
  <c r="V15" s="1"/>
  <c r="W15" s="1"/>
  <c r="X15" s="1"/>
  <c r="F21"/>
  <c r="G21" s="1"/>
  <c r="H21" s="1"/>
  <c r="I21" s="1"/>
  <c r="J21" s="1"/>
  <c r="K21" s="1"/>
  <c r="L21" s="1"/>
  <c r="M21" s="1"/>
  <c r="N21" s="1"/>
  <c r="O21" s="1"/>
  <c r="P21" s="1"/>
  <c r="Q21" s="1"/>
  <c r="R21" s="1"/>
  <c r="S21" s="1"/>
  <c r="T21" s="1"/>
  <c r="U21" s="1"/>
  <c r="V21" s="1"/>
  <c r="W21" s="1"/>
  <c r="X21" s="1"/>
  <c r="F22"/>
  <c r="G22" s="1"/>
  <c r="H22" s="1"/>
  <c r="I22" s="1"/>
  <c r="J22" s="1"/>
  <c r="K22" s="1"/>
  <c r="L22" s="1"/>
  <c r="M22" s="1"/>
  <c r="N22" s="1"/>
  <c r="O22" s="1"/>
  <c r="P22" s="1"/>
  <c r="Q22" s="1"/>
  <c r="R22" s="1"/>
  <c r="S22" s="1"/>
  <c r="T22" s="1"/>
  <c r="U22" s="1"/>
  <c r="V22" s="1"/>
  <c r="W22" s="1"/>
  <c r="X22" s="1"/>
  <c r="F24"/>
  <c r="G24" s="1"/>
  <c r="H24" s="1"/>
  <c r="I24" s="1"/>
  <c r="J24" s="1"/>
  <c r="K24" s="1"/>
  <c r="L24" s="1"/>
  <c r="M24" s="1"/>
  <c r="N24" s="1"/>
  <c r="O24" s="1"/>
  <c r="P24" s="1"/>
  <c r="Q24" s="1"/>
  <c r="R24" s="1"/>
  <c r="S24" s="1"/>
  <c r="T24" s="1"/>
  <c r="U24" s="1"/>
  <c r="V24" s="1"/>
  <c r="W24" s="1"/>
  <c r="X24" s="1"/>
  <c r="F23"/>
  <c r="G23" s="1"/>
  <c r="H23" s="1"/>
  <c r="I23" s="1"/>
  <c r="J23" s="1"/>
  <c r="K23" s="1"/>
  <c r="L23" s="1"/>
  <c r="M23" s="1"/>
  <c r="N23" s="1"/>
  <c r="O23" s="1"/>
  <c r="P23" s="1"/>
  <c r="Q23" s="1"/>
  <c r="R23" s="1"/>
  <c r="S23" s="1"/>
  <c r="T23" s="1"/>
  <c r="U23" s="1"/>
  <c r="V23" s="1"/>
  <c r="W23" s="1"/>
  <c r="X23" s="1"/>
  <c r="F17"/>
  <c r="G17" s="1"/>
  <c r="H17" s="1"/>
  <c r="I17" s="1"/>
  <c r="J17" s="1"/>
  <c r="K17" s="1"/>
  <c r="L17" s="1"/>
  <c r="M17" s="1"/>
  <c r="N17" s="1"/>
  <c r="O17" s="1"/>
  <c r="P17" s="1"/>
  <c r="Q17" s="1"/>
  <c r="R17" s="1"/>
  <c r="S17" s="1"/>
  <c r="T17" s="1"/>
  <c r="U17" s="1"/>
  <c r="V17" s="1"/>
  <c r="W17" s="1"/>
  <c r="X17" s="1"/>
  <c r="F20"/>
  <c r="G20" s="1"/>
  <c r="H20" s="1"/>
  <c r="I20" s="1"/>
  <c r="J20" s="1"/>
  <c r="K20" s="1"/>
  <c r="L20" s="1"/>
  <c r="M20" s="1"/>
  <c r="N20" s="1"/>
  <c r="O20" s="1"/>
  <c r="P20" s="1"/>
  <c r="Q20" s="1"/>
  <c r="R20" s="1"/>
  <c r="S20" s="1"/>
  <c r="T20" s="1"/>
  <c r="U20" s="1"/>
  <c r="V20" s="1"/>
  <c r="W20" s="1"/>
  <c r="X20" s="1"/>
  <c r="F19"/>
  <c r="G19" s="1"/>
  <c r="H19" s="1"/>
  <c r="I19" s="1"/>
  <c r="J19" s="1"/>
  <c r="K19" s="1"/>
  <c r="L19" s="1"/>
  <c r="M19" s="1"/>
  <c r="N19" s="1"/>
  <c r="O19" s="1"/>
  <c r="P19" s="1"/>
  <c r="Q19" s="1"/>
  <c r="R19" s="1"/>
  <c r="S19" s="1"/>
  <c r="T19" s="1"/>
  <c r="U19" s="1"/>
  <c r="V19" s="1"/>
  <c r="W19" s="1"/>
  <c r="X19" s="1"/>
  <c r="F18"/>
  <c r="G18" s="1"/>
  <c r="H18" s="1"/>
  <c r="I18" s="1"/>
  <c r="J18" s="1"/>
  <c r="K18" s="1"/>
  <c r="L18" s="1"/>
  <c r="M18" s="1"/>
  <c r="N18" s="1"/>
  <c r="O18" s="1"/>
  <c r="P18" s="1"/>
  <c r="Q18" s="1"/>
  <c r="R18" s="1"/>
  <c r="S18" s="1"/>
  <c r="T18" s="1"/>
  <c r="U18" s="1"/>
  <c r="V18" s="1"/>
  <c r="W18" s="1"/>
  <c r="X18" s="1"/>
  <c r="F13"/>
  <c r="G13" s="1"/>
  <c r="H13" s="1"/>
  <c r="I13" s="1"/>
  <c r="J13" s="1"/>
  <c r="K13" s="1"/>
  <c r="L13" s="1"/>
  <c r="M13" s="1"/>
  <c r="N13" s="1"/>
  <c r="O13" s="1"/>
  <c r="P13" s="1"/>
  <c r="Q13" s="1"/>
  <c r="R13" s="1"/>
  <c r="S13" s="1"/>
  <c r="T13" s="1"/>
  <c r="U13" s="1"/>
  <c r="V13" s="1"/>
  <c r="W13" s="1"/>
  <c r="X13" s="1"/>
  <c r="F25" l="1"/>
  <c r="G25" s="1"/>
  <c r="H25" s="1"/>
  <c r="I25" s="1"/>
  <c r="J25" s="1"/>
  <c r="K25" s="1"/>
  <c r="L25" s="1"/>
  <c r="M25" s="1"/>
  <c r="N25" s="1"/>
  <c r="O25" s="1"/>
  <c r="P25" s="1"/>
  <c r="Q25" s="1"/>
  <c r="R25" s="1"/>
  <c r="S25" s="1"/>
  <c r="T25" s="1"/>
  <c r="U25" s="1"/>
  <c r="V25" s="1"/>
  <c r="W25" s="1"/>
  <c r="X25" s="1"/>
  <c r="F28"/>
  <c r="G28" s="1"/>
  <c r="H28" s="1"/>
  <c r="I28" s="1"/>
  <c r="J28" s="1"/>
  <c r="K28" s="1"/>
  <c r="L28" s="1"/>
  <c r="M28" s="1"/>
  <c r="N28" s="1"/>
  <c r="O28" s="1"/>
  <c r="P28" s="1"/>
  <c r="Q28" s="1"/>
  <c r="R28" s="1"/>
  <c r="S28" s="1"/>
  <c r="T28" s="1"/>
  <c r="U28" s="1"/>
  <c r="V28" s="1"/>
  <c r="W28" s="1"/>
  <c r="X28" s="1"/>
  <c r="F27"/>
  <c r="G27" s="1"/>
  <c r="H27" s="1"/>
  <c r="I27" s="1"/>
  <c r="J27" s="1"/>
  <c r="K27" s="1"/>
  <c r="L27" s="1"/>
  <c r="M27" s="1"/>
  <c r="N27" s="1"/>
  <c r="O27" s="1"/>
  <c r="P27" s="1"/>
  <c r="Q27" s="1"/>
  <c r="R27" s="1"/>
  <c r="S27" s="1"/>
  <c r="T27" s="1"/>
  <c r="U27" s="1"/>
  <c r="V27" s="1"/>
  <c r="W27" s="1"/>
  <c r="X27" s="1"/>
  <c r="F26"/>
  <c r="G26" s="1"/>
  <c r="H26" s="1"/>
  <c r="I26" s="1"/>
  <c r="J26" s="1"/>
  <c r="K26" s="1"/>
  <c r="L26" s="1"/>
  <c r="M26" s="1"/>
  <c r="N26" s="1"/>
  <c r="O26" s="1"/>
  <c r="P26" s="1"/>
  <c r="Q26" s="1"/>
  <c r="R26" s="1"/>
  <c r="S26" s="1"/>
  <c r="T26" s="1"/>
  <c r="U26" s="1"/>
  <c r="V26" s="1"/>
  <c r="W26" s="1"/>
  <c r="X26" s="1"/>
  <c r="F42"/>
  <c r="F64" s="1"/>
  <c r="F47"/>
  <c r="F69" s="1"/>
  <c r="F93" s="1"/>
  <c r="F35"/>
  <c r="F57" s="1"/>
  <c r="F41"/>
  <c r="F63" s="1"/>
  <c r="F50"/>
  <c r="F72" s="1"/>
  <c r="F38"/>
  <c r="F60" s="1"/>
  <c r="F39"/>
  <c r="F61" s="1"/>
  <c r="F49"/>
  <c r="F71" s="1"/>
  <c r="F95" s="1"/>
  <c r="F37"/>
  <c r="F59" s="1"/>
  <c r="F40"/>
  <c r="F62" s="1"/>
  <c r="F48"/>
  <c r="F70" s="1"/>
  <c r="F94" s="1"/>
  <c r="F36"/>
  <c r="G48" l="1"/>
  <c r="G70" s="1"/>
  <c r="G94" s="1"/>
  <c r="M16" i="40" s="1"/>
  <c r="F83" i="8"/>
  <c r="F85"/>
  <c r="F96"/>
  <c r="G35"/>
  <c r="G57" s="1"/>
  <c r="G81" s="1"/>
  <c r="M3" i="40" s="1"/>
  <c r="G42" i="8"/>
  <c r="G64" s="1"/>
  <c r="G88" s="1"/>
  <c r="M10" i="40" s="1"/>
  <c r="F44" i="8"/>
  <c r="F66" s="1"/>
  <c r="F90" s="1"/>
  <c r="L16" i="40"/>
  <c r="G37" i="8"/>
  <c r="G59" s="1"/>
  <c r="G83" s="1"/>
  <c r="M5" i="40" s="1"/>
  <c r="G39" i="8"/>
  <c r="G61" s="1"/>
  <c r="G85" s="1"/>
  <c r="M7" i="40" s="1"/>
  <c r="G50" i="8"/>
  <c r="G72" s="1"/>
  <c r="G96" s="1"/>
  <c r="M18" i="40" s="1"/>
  <c r="F81" i="8"/>
  <c r="F88"/>
  <c r="F46"/>
  <c r="F68" s="1"/>
  <c r="G40"/>
  <c r="G62" s="1"/>
  <c r="G86" s="1"/>
  <c r="M8" i="40" s="1"/>
  <c r="G49" i="8"/>
  <c r="G71" s="1"/>
  <c r="G95" s="1"/>
  <c r="M17" i="40" s="1"/>
  <c r="G38" i="8"/>
  <c r="G60" s="1"/>
  <c r="G84" s="1"/>
  <c r="M6" i="40" s="1"/>
  <c r="G41" i="8"/>
  <c r="G63" s="1"/>
  <c r="G87" s="1"/>
  <c r="M9" i="40" s="1"/>
  <c r="G47" i="8"/>
  <c r="G69" s="1"/>
  <c r="G93" s="1"/>
  <c r="M15" i="40" s="1"/>
  <c r="F45" i="8"/>
  <c r="F67" s="1"/>
  <c r="F91" s="1"/>
  <c r="F86"/>
  <c r="L17" i="40"/>
  <c r="F84" i="8"/>
  <c r="F87"/>
  <c r="L15" i="40"/>
  <c r="F43" i="8"/>
  <c r="F65" s="1"/>
  <c r="F89" s="1"/>
  <c r="F30"/>
  <c r="G36"/>
  <c r="F58"/>
  <c r="F52" l="1"/>
  <c r="L8" i="40"/>
  <c r="H47" i="8"/>
  <c r="H69" s="1"/>
  <c r="H93" s="1"/>
  <c r="N15" i="40" s="1"/>
  <c r="H38" i="8"/>
  <c r="H60" s="1"/>
  <c r="H40"/>
  <c r="H62" s="1"/>
  <c r="H50"/>
  <c r="H72" s="1"/>
  <c r="H96" s="1"/>
  <c r="N18" i="40" s="1"/>
  <c r="G44" i="8"/>
  <c r="G66" s="1"/>
  <c r="G90" s="1"/>
  <c r="M12" i="40" s="1"/>
  <c r="L7"/>
  <c r="H48" i="8"/>
  <c r="H70" s="1"/>
  <c r="H94" s="1"/>
  <c r="N16" i="40" s="1"/>
  <c r="L12"/>
  <c r="G43" i="8"/>
  <c r="G65" s="1"/>
  <c r="G89" s="1"/>
  <c r="L9" i="40"/>
  <c r="G45" i="8"/>
  <c r="G67" s="1"/>
  <c r="G91" s="1"/>
  <c r="M13" i="40" s="1"/>
  <c r="H41" i="8"/>
  <c r="H63" s="1"/>
  <c r="H49"/>
  <c r="H71" s="1"/>
  <c r="H95" s="1"/>
  <c r="G46"/>
  <c r="G68" s="1"/>
  <c r="G92" s="1"/>
  <c r="M14" i="40" s="1"/>
  <c r="L3"/>
  <c r="H39" i="8"/>
  <c r="H61" s="1"/>
  <c r="H42"/>
  <c r="H64" s="1"/>
  <c r="L18" i="40"/>
  <c r="L5"/>
  <c r="L6"/>
  <c r="L10"/>
  <c r="H37" i="8"/>
  <c r="H59" s="1"/>
  <c r="H83" s="1"/>
  <c r="N5" i="40" s="1"/>
  <c r="H35" i="8"/>
  <c r="H57" s="1"/>
  <c r="H81" s="1"/>
  <c r="N3" i="40" s="1"/>
  <c r="L11"/>
  <c r="F107" i="8"/>
  <c r="F144" s="1"/>
  <c r="L13" i="40"/>
  <c r="F92" i="8"/>
  <c r="G30"/>
  <c r="G58"/>
  <c r="F82"/>
  <c r="F74"/>
  <c r="H36"/>
  <c r="H30"/>
  <c r="G52" l="1"/>
  <c r="I39"/>
  <c r="I61" s="1"/>
  <c r="I85" s="1"/>
  <c r="O7" i="40" s="1"/>
  <c r="H46" i="8"/>
  <c r="H68" s="1"/>
  <c r="I41"/>
  <c r="I63" s="1"/>
  <c r="I87" s="1"/>
  <c r="O9" i="40" s="1"/>
  <c r="I50" i="8"/>
  <c r="I72" s="1"/>
  <c r="I38"/>
  <c r="I60" s="1"/>
  <c r="I84" s="1"/>
  <c r="O6" i="40" s="1"/>
  <c r="I37" i="8"/>
  <c r="I59" s="1"/>
  <c r="H85"/>
  <c r="H87"/>
  <c r="H84"/>
  <c r="L14" i="40"/>
  <c r="I42" i="8"/>
  <c r="I64" s="1"/>
  <c r="I88" s="1"/>
  <c r="O10" i="40" s="1"/>
  <c r="I49" i="8"/>
  <c r="I71" s="1"/>
  <c r="I95" s="1"/>
  <c r="O17" i="40" s="1"/>
  <c r="H45" i="8"/>
  <c r="H67" s="1"/>
  <c r="H91" s="1"/>
  <c r="H43"/>
  <c r="H65" s="1"/>
  <c r="H89" s="1"/>
  <c r="I48"/>
  <c r="I70" s="1"/>
  <c r="I94" s="1"/>
  <c r="O16" i="40" s="1"/>
  <c r="H44" i="8"/>
  <c r="H66" s="1"/>
  <c r="H90" s="1"/>
  <c r="I40"/>
  <c r="I62" s="1"/>
  <c r="I86" s="1"/>
  <c r="O8" i="40" s="1"/>
  <c r="I47" i="8"/>
  <c r="I69" s="1"/>
  <c r="I93" s="1"/>
  <c r="I35"/>
  <c r="I57" s="1"/>
  <c r="I81" s="1"/>
  <c r="O3" i="40" s="1"/>
  <c r="H88" i="8"/>
  <c r="N17" i="40"/>
  <c r="M11"/>
  <c r="G107" i="8"/>
  <c r="G144" s="1"/>
  <c r="H86"/>
  <c r="I36"/>
  <c r="I30"/>
  <c r="G82"/>
  <c r="G74"/>
  <c r="H58"/>
  <c r="L4" i="40"/>
  <c r="F133" i="8"/>
  <c r="F129"/>
  <c r="F128"/>
  <c r="F109"/>
  <c r="F113"/>
  <c r="F108"/>
  <c r="F145" s="1"/>
  <c r="F117"/>
  <c r="F118"/>
  <c r="F130"/>
  <c r="F132"/>
  <c r="F112"/>
  <c r="F131"/>
  <c r="F127"/>
  <c r="F134"/>
  <c r="F125"/>
  <c r="F111"/>
  <c r="F136"/>
  <c r="F115"/>
  <c r="F120"/>
  <c r="F124"/>
  <c r="F119"/>
  <c r="F137"/>
  <c r="F123"/>
  <c r="F135"/>
  <c r="F98"/>
  <c r="F114"/>
  <c r="F122"/>
  <c r="F116"/>
  <c r="F110"/>
  <c r="F121"/>
  <c r="F126"/>
  <c r="F163" s="1"/>
  <c r="F162" l="1"/>
  <c r="F149"/>
  <c r="F154"/>
  <c r="F157"/>
  <c r="F165"/>
  <c r="O15" i="40"/>
  <c r="N11"/>
  <c r="H107" i="8"/>
  <c r="H144" s="1"/>
  <c r="N10" i="40"/>
  <c r="J40" i="8"/>
  <c r="J62" s="1"/>
  <c r="I45"/>
  <c r="I67" s="1"/>
  <c r="I91" s="1"/>
  <c r="O13" i="40" s="1"/>
  <c r="N6"/>
  <c r="J38" i="8"/>
  <c r="J60" s="1"/>
  <c r="J41"/>
  <c r="J63" s="1"/>
  <c r="N13" i="40"/>
  <c r="F147" i="8"/>
  <c r="N12" i="40"/>
  <c r="I83" i="8"/>
  <c r="I96"/>
  <c r="H92"/>
  <c r="J48"/>
  <c r="J70" s="1"/>
  <c r="J94" s="1"/>
  <c r="J42"/>
  <c r="J64" s="1"/>
  <c r="N7" i="40"/>
  <c r="J39" i="8"/>
  <c r="J61" s="1"/>
  <c r="N8" i="40"/>
  <c r="J35" i="8"/>
  <c r="J57" s="1"/>
  <c r="J81" s="1"/>
  <c r="P3" i="40" s="1"/>
  <c r="J47" i="8"/>
  <c r="J69" s="1"/>
  <c r="J93" s="1"/>
  <c r="P15" i="40" s="1"/>
  <c r="I44" i="8"/>
  <c r="I66" s="1"/>
  <c r="I90" s="1"/>
  <c r="O12" i="40" s="1"/>
  <c r="I43" i="8"/>
  <c r="I65" s="1"/>
  <c r="I89" s="1"/>
  <c r="J49"/>
  <c r="J71" s="1"/>
  <c r="J95" s="1"/>
  <c r="N9" i="40"/>
  <c r="J37" i="8"/>
  <c r="J59" s="1"/>
  <c r="J83" s="1"/>
  <c r="P5" i="40" s="1"/>
  <c r="J50" i="8"/>
  <c r="J72" s="1"/>
  <c r="J96" s="1"/>
  <c r="P18" i="40" s="1"/>
  <c r="I46" i="8"/>
  <c r="I68" s="1"/>
  <c r="I92" s="1"/>
  <c r="O14" i="40" s="1"/>
  <c r="F156" i="8"/>
  <c r="F158"/>
  <c r="F151"/>
  <c r="F171"/>
  <c r="F169"/>
  <c r="F166"/>
  <c r="H52"/>
  <c r="H74"/>
  <c r="H82"/>
  <c r="F100"/>
  <c r="J36"/>
  <c r="F152"/>
  <c r="F160"/>
  <c r="F173"/>
  <c r="F164"/>
  <c r="F167"/>
  <c r="F150"/>
  <c r="F170"/>
  <c r="F174"/>
  <c r="F139"/>
  <c r="I58"/>
  <c r="M4" i="40"/>
  <c r="G108" i="8"/>
  <c r="G145" s="1"/>
  <c r="G137"/>
  <c r="G133"/>
  <c r="G126"/>
  <c r="G136"/>
  <c r="G127"/>
  <c r="G122"/>
  <c r="G119"/>
  <c r="G113"/>
  <c r="G125"/>
  <c r="G116"/>
  <c r="G98"/>
  <c r="G100" s="1"/>
  <c r="G129"/>
  <c r="G121"/>
  <c r="G124"/>
  <c r="G118"/>
  <c r="G110"/>
  <c r="G130"/>
  <c r="G115"/>
  <c r="G112"/>
  <c r="G128"/>
  <c r="G111"/>
  <c r="G131"/>
  <c r="G135"/>
  <c r="G114"/>
  <c r="G151" s="1"/>
  <c r="G123"/>
  <c r="G132"/>
  <c r="G109"/>
  <c r="G134"/>
  <c r="G117"/>
  <c r="G120"/>
  <c r="G157" s="1"/>
  <c r="F159"/>
  <c r="F153"/>
  <c r="F172"/>
  <c r="F161"/>
  <c r="F148"/>
  <c r="F168"/>
  <c r="F155"/>
  <c r="F146"/>
  <c r="G169" l="1"/>
  <c r="G165"/>
  <c r="J46"/>
  <c r="J68" s="1"/>
  <c r="J92" s="1"/>
  <c r="P14" i="40" s="1"/>
  <c r="K49" i="8"/>
  <c r="K71" s="1"/>
  <c r="K95" s="1"/>
  <c r="Q17" i="40" s="1"/>
  <c r="K35" i="8"/>
  <c r="K57" s="1"/>
  <c r="K42"/>
  <c r="K64" s="1"/>
  <c r="K88" s="1"/>
  <c r="Q10" i="40" s="1"/>
  <c r="P17"/>
  <c r="J85" i="8"/>
  <c r="J88"/>
  <c r="K41"/>
  <c r="K63" s="1"/>
  <c r="K87" s="1"/>
  <c r="Q9" i="40" s="1"/>
  <c r="K40" i="8"/>
  <c r="K62" s="1"/>
  <c r="K86" s="1"/>
  <c r="Q8" i="40" s="1"/>
  <c r="O11"/>
  <c r="I107" i="8"/>
  <c r="I144" s="1"/>
  <c r="P16" i="40"/>
  <c r="K38" i="8"/>
  <c r="K60" s="1"/>
  <c r="K84" s="1"/>
  <c r="Q6" i="40" s="1"/>
  <c r="J45" i="8"/>
  <c r="J67" s="1"/>
  <c r="J91" s="1"/>
  <c r="G154"/>
  <c r="G160"/>
  <c r="G158"/>
  <c r="G162"/>
  <c r="G164"/>
  <c r="I52"/>
  <c r="K37"/>
  <c r="K59" s="1"/>
  <c r="K83" s="1"/>
  <c r="Q5" i="40" s="1"/>
  <c r="K30" i="8"/>
  <c r="J44"/>
  <c r="J66" s="1"/>
  <c r="J90" s="1"/>
  <c r="P12" i="40" s="1"/>
  <c r="K39" i="8"/>
  <c r="K61" s="1"/>
  <c r="K85" s="1"/>
  <c r="Q7" i="40" s="1"/>
  <c r="N14"/>
  <c r="O5"/>
  <c r="J84" i="8"/>
  <c r="K50"/>
  <c r="K72" s="1"/>
  <c r="K96" s="1"/>
  <c r="Q18" i="40" s="1"/>
  <c r="J43" i="8"/>
  <c r="J65" s="1"/>
  <c r="J89" s="1"/>
  <c r="K47"/>
  <c r="K69" s="1"/>
  <c r="K93" s="1"/>
  <c r="K48"/>
  <c r="K70" s="1"/>
  <c r="K94" s="1"/>
  <c r="Q16" i="40" s="1"/>
  <c r="O18"/>
  <c r="J87" i="8"/>
  <c r="J86"/>
  <c r="F176"/>
  <c r="F177" s="1"/>
  <c r="J30"/>
  <c r="G171"/>
  <c r="G147"/>
  <c r="G150"/>
  <c r="G173"/>
  <c r="G174"/>
  <c r="G139"/>
  <c r="J58"/>
  <c r="G166"/>
  <c r="G167"/>
  <c r="G146"/>
  <c r="G172"/>
  <c r="G149"/>
  <c r="G155"/>
  <c r="G156"/>
  <c r="G163"/>
  <c r="K36"/>
  <c r="N4" i="40"/>
  <c r="H124" i="8"/>
  <c r="H134"/>
  <c r="H122"/>
  <c r="H130"/>
  <c r="H114"/>
  <c r="H113"/>
  <c r="H126"/>
  <c r="H98"/>
  <c r="H100" s="1"/>
  <c r="H121"/>
  <c r="H125"/>
  <c r="H137"/>
  <c r="H132"/>
  <c r="H118"/>
  <c r="H117"/>
  <c r="H115"/>
  <c r="H112"/>
  <c r="H120"/>
  <c r="H129"/>
  <c r="H108"/>
  <c r="H145" s="1"/>
  <c r="H111"/>
  <c r="H110"/>
  <c r="H131"/>
  <c r="H123"/>
  <c r="H160" s="1"/>
  <c r="H119"/>
  <c r="H116"/>
  <c r="H127"/>
  <c r="H133"/>
  <c r="H128"/>
  <c r="H135"/>
  <c r="H109"/>
  <c r="H136"/>
  <c r="I74"/>
  <c r="I82"/>
  <c r="G148"/>
  <c r="G168"/>
  <c r="G152"/>
  <c r="G161"/>
  <c r="G153"/>
  <c r="G159"/>
  <c r="G170"/>
  <c r="J52" l="1"/>
  <c r="H156"/>
  <c r="H165"/>
  <c r="H148"/>
  <c r="H169"/>
  <c r="H167"/>
  <c r="H163"/>
  <c r="H172"/>
  <c r="P11" i="40"/>
  <c r="J107" i="8"/>
  <c r="J144" s="1"/>
  <c r="K45"/>
  <c r="K67" s="1"/>
  <c r="K91" s="1"/>
  <c r="Q13" i="40" s="1"/>
  <c r="L40" i="8"/>
  <c r="L62" s="1"/>
  <c r="L86" s="1"/>
  <c r="R8" i="40" s="1"/>
  <c r="P10"/>
  <c r="L35" i="8"/>
  <c r="L57" s="1"/>
  <c r="L81" s="1"/>
  <c r="R3" i="40" s="1"/>
  <c r="K46" i="8"/>
  <c r="K68" s="1"/>
  <c r="K92" s="1"/>
  <c r="P8" i="40"/>
  <c r="L39" i="8"/>
  <c r="L61" s="1"/>
  <c r="P13" i="40"/>
  <c r="K81" i="8"/>
  <c r="Q15" i="40"/>
  <c r="L38" i="8"/>
  <c r="L60" s="1"/>
  <c r="L41"/>
  <c r="L63" s="1"/>
  <c r="P7" i="40"/>
  <c r="L42" i="8"/>
  <c r="L64" s="1"/>
  <c r="L49"/>
  <c r="L71" s="1"/>
  <c r="L95" s="1"/>
  <c r="G176"/>
  <c r="G177" s="1"/>
  <c r="H162"/>
  <c r="L47"/>
  <c r="L69" s="1"/>
  <c r="L93" s="1"/>
  <c r="R15" i="40" s="1"/>
  <c r="L50" i="8"/>
  <c r="L72" s="1"/>
  <c r="L37"/>
  <c r="L59" s="1"/>
  <c r="P9" i="40"/>
  <c r="L48" i="8"/>
  <c r="L70" s="1"/>
  <c r="L94" s="1"/>
  <c r="R16" i="40" s="1"/>
  <c r="K43" i="8"/>
  <c r="K65" s="1"/>
  <c r="K89" s="1"/>
  <c r="P6" i="40"/>
  <c r="K44" i="8"/>
  <c r="K66" s="1"/>
  <c r="K90" s="1"/>
  <c r="Q12" i="40" s="1"/>
  <c r="H173" i="8"/>
  <c r="H170"/>
  <c r="H152"/>
  <c r="H159"/>
  <c r="H174"/>
  <c r="H139"/>
  <c r="K58"/>
  <c r="L36"/>
  <c r="L30"/>
  <c r="H153"/>
  <c r="H147"/>
  <c r="H157"/>
  <c r="H155"/>
  <c r="H158"/>
  <c r="H151"/>
  <c r="H161"/>
  <c r="O4" i="40"/>
  <c r="I136" i="8"/>
  <c r="I129"/>
  <c r="I119"/>
  <c r="I111"/>
  <c r="I114"/>
  <c r="I118"/>
  <c r="I127"/>
  <c r="I110"/>
  <c r="I126"/>
  <c r="I131"/>
  <c r="I137"/>
  <c r="I116"/>
  <c r="I124"/>
  <c r="I113"/>
  <c r="I134"/>
  <c r="I117"/>
  <c r="I154" s="1"/>
  <c r="I98"/>
  <c r="I100" s="1"/>
  <c r="I108"/>
  <c r="I145" s="1"/>
  <c r="I133"/>
  <c r="I123"/>
  <c r="I121"/>
  <c r="I125"/>
  <c r="I130"/>
  <c r="I132"/>
  <c r="I135"/>
  <c r="I112"/>
  <c r="I115"/>
  <c r="I120"/>
  <c r="I128"/>
  <c r="I109"/>
  <c r="I146" s="1"/>
  <c r="I122"/>
  <c r="J82"/>
  <c r="J74"/>
  <c r="H149"/>
  <c r="H146"/>
  <c r="H164"/>
  <c r="H168"/>
  <c r="H166"/>
  <c r="H154"/>
  <c r="H150"/>
  <c r="H171"/>
  <c r="K52" l="1"/>
  <c r="L44"/>
  <c r="L66" s="1"/>
  <c r="L90" s="1"/>
  <c r="L43"/>
  <c r="L65" s="1"/>
  <c r="L89" s="1"/>
  <c r="M50"/>
  <c r="M72" s="1"/>
  <c r="M96" s="1"/>
  <c r="S18" i="40" s="1"/>
  <c r="M42" i="8"/>
  <c r="M64" s="1"/>
  <c r="M88" s="1"/>
  <c r="S10" i="40" s="1"/>
  <c r="M41" i="8"/>
  <c r="M63" s="1"/>
  <c r="M87" s="1"/>
  <c r="S9" i="40" s="1"/>
  <c r="M35" i="8"/>
  <c r="M57" s="1"/>
  <c r="M81" s="1"/>
  <c r="S3" i="40" s="1"/>
  <c r="M40" i="8"/>
  <c r="M62" s="1"/>
  <c r="L83"/>
  <c r="R17" i="40"/>
  <c r="L84" i="8"/>
  <c r="L85"/>
  <c r="Q14" i="40"/>
  <c r="I159" i="8"/>
  <c r="I152"/>
  <c r="I170"/>
  <c r="I164"/>
  <c r="Q11" i="40"/>
  <c r="K107" i="8"/>
  <c r="K144" s="1"/>
  <c r="L96"/>
  <c r="L88"/>
  <c r="L87"/>
  <c r="M48"/>
  <c r="M70" s="1"/>
  <c r="M94" s="1"/>
  <c r="S16" i="40" s="1"/>
  <c r="M37" i="8"/>
  <c r="M59" s="1"/>
  <c r="M83" s="1"/>
  <c r="S5" i="40" s="1"/>
  <c r="M47" i="8"/>
  <c r="M69" s="1"/>
  <c r="M93" s="1"/>
  <c r="M49"/>
  <c r="M71" s="1"/>
  <c r="M95" s="1"/>
  <c r="S17" i="40" s="1"/>
  <c r="M38" i="8"/>
  <c r="M60" s="1"/>
  <c r="M84" s="1"/>
  <c r="S6" i="40" s="1"/>
  <c r="Q3"/>
  <c r="M39" i="8"/>
  <c r="M61" s="1"/>
  <c r="M85" s="1"/>
  <c r="S7" i="40" s="1"/>
  <c r="L46" i="8"/>
  <c r="L68" s="1"/>
  <c r="L45"/>
  <c r="L67" s="1"/>
  <c r="L91" s="1"/>
  <c r="I149"/>
  <c r="I162"/>
  <c r="I168"/>
  <c r="I155"/>
  <c r="I166"/>
  <c r="H176"/>
  <c r="H177" s="1"/>
  <c r="L58"/>
  <c r="M36"/>
  <c r="I150"/>
  <c r="I167"/>
  <c r="I171"/>
  <c r="I165"/>
  <c r="I172"/>
  <c r="I158"/>
  <c r="I161"/>
  <c r="I163"/>
  <c r="I151"/>
  <c r="I173"/>
  <c r="I174"/>
  <c r="I139"/>
  <c r="K74"/>
  <c r="K82"/>
  <c r="P4" i="40"/>
  <c r="J125" i="8"/>
  <c r="J135"/>
  <c r="J130"/>
  <c r="J109"/>
  <c r="J111"/>
  <c r="J126"/>
  <c r="J136"/>
  <c r="J123"/>
  <c r="J128"/>
  <c r="J116"/>
  <c r="J127"/>
  <c r="J115"/>
  <c r="J118"/>
  <c r="J129"/>
  <c r="J117"/>
  <c r="J108"/>
  <c r="J145" s="1"/>
  <c r="J133"/>
  <c r="J124"/>
  <c r="J98"/>
  <c r="J100" s="1"/>
  <c r="J120"/>
  <c r="J134"/>
  <c r="J171" s="1"/>
  <c r="J132"/>
  <c r="J113"/>
  <c r="J110"/>
  <c r="J147" s="1"/>
  <c r="J121"/>
  <c r="J137"/>
  <c r="J119"/>
  <c r="J112"/>
  <c r="J131"/>
  <c r="J114"/>
  <c r="J122"/>
  <c r="I156"/>
  <c r="I157"/>
  <c r="I169"/>
  <c r="I160"/>
  <c r="I153"/>
  <c r="I147"/>
  <c r="I148"/>
  <c r="J149" l="1"/>
  <c r="J151"/>
  <c r="L52"/>
  <c r="J168"/>
  <c r="M86"/>
  <c r="R12" i="40"/>
  <c r="M45" i="8"/>
  <c r="M67" s="1"/>
  <c r="M91" s="1"/>
  <c r="S13" i="40" s="1"/>
  <c r="N39" i="8"/>
  <c r="N61" s="1"/>
  <c r="N85" s="1"/>
  <c r="T7" i="40" s="1"/>
  <c r="N38" i="8"/>
  <c r="N60" s="1"/>
  <c r="N84" s="1"/>
  <c r="T6" i="40" s="1"/>
  <c r="N47" i="8"/>
  <c r="N69" s="1"/>
  <c r="N93" s="1"/>
  <c r="T15" i="40" s="1"/>
  <c r="N48" i="8"/>
  <c r="N70" s="1"/>
  <c r="N94" s="1"/>
  <c r="T16" i="40" s="1"/>
  <c r="R10"/>
  <c r="R7"/>
  <c r="N40" i="8"/>
  <c r="N62" s="1"/>
  <c r="N86" s="1"/>
  <c r="T8" i="40" s="1"/>
  <c r="N41" i="8"/>
  <c r="N63" s="1"/>
  <c r="N87" s="1"/>
  <c r="T9" i="40" s="1"/>
  <c r="N50" i="8"/>
  <c r="N72" s="1"/>
  <c r="N96" s="1"/>
  <c r="T18" i="40" s="1"/>
  <c r="M44" i="8"/>
  <c r="M66" s="1"/>
  <c r="M90" s="1"/>
  <c r="S12" i="40" s="1"/>
  <c r="J164" i="8"/>
  <c r="J170"/>
  <c r="J155"/>
  <c r="J165"/>
  <c r="J162"/>
  <c r="R13" i="40"/>
  <c r="S15"/>
  <c r="M46" i="8"/>
  <c r="M68" s="1"/>
  <c r="M92" s="1"/>
  <c r="S14" i="40" s="1"/>
  <c r="N49" i="8"/>
  <c r="N71" s="1"/>
  <c r="N95" s="1"/>
  <c r="N37"/>
  <c r="N59" s="1"/>
  <c r="N83" s="1"/>
  <c r="T5" i="40" s="1"/>
  <c r="R9"/>
  <c r="R18"/>
  <c r="R6"/>
  <c r="R5"/>
  <c r="N35" i="8"/>
  <c r="N57" s="1"/>
  <c r="N81" s="1"/>
  <c r="T3" i="40" s="1"/>
  <c r="N42" i="8"/>
  <c r="N64" s="1"/>
  <c r="M43"/>
  <c r="M65" s="1"/>
  <c r="M89" s="1"/>
  <c r="L92"/>
  <c r="R11" i="40"/>
  <c r="L107" i="8"/>
  <c r="L144" s="1"/>
  <c r="J154"/>
  <c r="J173"/>
  <c r="I176"/>
  <c r="I177" s="1"/>
  <c r="J157"/>
  <c r="J152"/>
  <c r="J160"/>
  <c r="M30"/>
  <c r="J139"/>
  <c r="J174"/>
  <c r="N30"/>
  <c r="N36"/>
  <c r="J169"/>
  <c r="J161"/>
  <c r="J166"/>
  <c r="J153"/>
  <c r="J163"/>
  <c r="J172"/>
  <c r="M58"/>
  <c r="L74"/>
  <c r="L82"/>
  <c r="Q4" i="40"/>
  <c r="K125" i="8"/>
  <c r="K110"/>
  <c r="K108"/>
  <c r="K145" s="1"/>
  <c r="K134"/>
  <c r="K123"/>
  <c r="K131"/>
  <c r="K133"/>
  <c r="K135"/>
  <c r="K118"/>
  <c r="K128"/>
  <c r="K127"/>
  <c r="K136"/>
  <c r="K173" s="1"/>
  <c r="K117"/>
  <c r="K124"/>
  <c r="K132"/>
  <c r="K137"/>
  <c r="K116"/>
  <c r="K119"/>
  <c r="K129"/>
  <c r="K121"/>
  <c r="K115"/>
  <c r="K120"/>
  <c r="K157" s="1"/>
  <c r="K114"/>
  <c r="K112"/>
  <c r="K113"/>
  <c r="K111"/>
  <c r="K148" s="1"/>
  <c r="K98"/>
  <c r="K130"/>
  <c r="K122"/>
  <c r="K126"/>
  <c r="K109"/>
  <c r="K146" s="1"/>
  <c r="J146"/>
  <c r="J158"/>
  <c r="J148"/>
  <c r="J159"/>
  <c r="J156"/>
  <c r="J150"/>
  <c r="J167"/>
  <c r="K172" l="1"/>
  <c r="K169"/>
  <c r="K167"/>
  <c r="K149"/>
  <c r="K158"/>
  <c r="K171"/>
  <c r="M52"/>
  <c r="K166"/>
  <c r="K152"/>
  <c r="K153"/>
  <c r="K155"/>
  <c r="K162"/>
  <c r="O42"/>
  <c r="O64" s="1"/>
  <c r="O88" s="1"/>
  <c r="U10" i="40" s="1"/>
  <c r="O37" i="8"/>
  <c r="O59" s="1"/>
  <c r="O83" s="1"/>
  <c r="O41"/>
  <c r="O63" s="1"/>
  <c r="O87" s="1"/>
  <c r="U9" i="40" s="1"/>
  <c r="S8"/>
  <c r="N88" i="8"/>
  <c r="N43"/>
  <c r="N65" s="1"/>
  <c r="N89" s="1"/>
  <c r="O35"/>
  <c r="O57" s="1"/>
  <c r="O81" s="1"/>
  <c r="U3" i="40" s="1"/>
  <c r="O49" i="8"/>
  <c r="O71" s="1"/>
  <c r="O95" s="1"/>
  <c r="U17" i="40" s="1"/>
  <c r="O50" i="8"/>
  <c r="O72" s="1"/>
  <c r="O96" s="1"/>
  <c r="O40"/>
  <c r="O62" s="1"/>
  <c r="O86" s="1"/>
  <c r="U8" i="40" s="1"/>
  <c r="O47" i="8"/>
  <c r="O69" s="1"/>
  <c r="O93" s="1"/>
  <c r="U15" i="40" s="1"/>
  <c r="O39" i="8"/>
  <c r="O61" s="1"/>
  <c r="O85" s="1"/>
  <c r="K165"/>
  <c r="R14" i="40"/>
  <c r="N46" i="8"/>
  <c r="N68" s="1"/>
  <c r="N92" s="1"/>
  <c r="T14" i="40" s="1"/>
  <c r="N44" i="8"/>
  <c r="N66" s="1"/>
  <c r="N90" s="1"/>
  <c r="T12" i="40" s="1"/>
  <c r="O48" i="8"/>
  <c r="O70" s="1"/>
  <c r="O94" s="1"/>
  <c r="U16" i="40" s="1"/>
  <c r="O38" i="8"/>
  <c r="O60" s="1"/>
  <c r="O84" s="1"/>
  <c r="U6" i="40" s="1"/>
  <c r="N45" i="8"/>
  <c r="N67" s="1"/>
  <c r="N91" s="1"/>
  <c r="S11" i="40"/>
  <c r="M107" i="8"/>
  <c r="M144" s="1"/>
  <c r="T17" i="40"/>
  <c r="J176" i="8"/>
  <c r="J177" s="1"/>
  <c r="K139"/>
  <c r="K174"/>
  <c r="N58"/>
  <c r="R4" i="40"/>
  <c r="L121" i="8"/>
  <c r="L118"/>
  <c r="L122"/>
  <c r="L133"/>
  <c r="L129"/>
  <c r="L136"/>
  <c r="L126"/>
  <c r="L134"/>
  <c r="L171" s="1"/>
  <c r="L116"/>
  <c r="L123"/>
  <c r="L127"/>
  <c r="L164" s="1"/>
  <c r="L109"/>
  <c r="L135"/>
  <c r="L113"/>
  <c r="L131"/>
  <c r="L119"/>
  <c r="L125"/>
  <c r="L108"/>
  <c r="L145" s="1"/>
  <c r="L117"/>
  <c r="L130"/>
  <c r="L167" s="1"/>
  <c r="L128"/>
  <c r="L137"/>
  <c r="L114"/>
  <c r="L132"/>
  <c r="L120"/>
  <c r="L98"/>
  <c r="L112"/>
  <c r="L124"/>
  <c r="L115"/>
  <c r="L111"/>
  <c r="L110"/>
  <c r="O30"/>
  <c r="O36"/>
  <c r="K159"/>
  <c r="K154"/>
  <c r="K160"/>
  <c r="K163"/>
  <c r="K156"/>
  <c r="K161"/>
  <c r="K168"/>
  <c r="K147"/>
  <c r="M74"/>
  <c r="M82"/>
  <c r="K100"/>
  <c r="K150"/>
  <c r="K151"/>
  <c r="K164"/>
  <c r="K170"/>
  <c r="L156" l="1"/>
  <c r="L149"/>
  <c r="L151"/>
  <c r="L161"/>
  <c r="L146"/>
  <c r="L152"/>
  <c r="L165"/>
  <c r="L169"/>
  <c r="K176"/>
  <c r="K177" s="1"/>
  <c r="L160"/>
  <c r="P47"/>
  <c r="P69" s="1"/>
  <c r="P93" s="1"/>
  <c r="V15" i="40" s="1"/>
  <c r="P50" i="8"/>
  <c r="P72" s="1"/>
  <c r="P96" s="1"/>
  <c r="V18" i="40" s="1"/>
  <c r="P35" i="8"/>
  <c r="P57" s="1"/>
  <c r="P81" s="1"/>
  <c r="V3" i="40" s="1"/>
  <c r="T10"/>
  <c r="P41" i="8"/>
  <c r="P63" s="1"/>
  <c r="P87" s="1"/>
  <c r="V9" i="40" s="1"/>
  <c r="P42" i="8"/>
  <c r="P64" s="1"/>
  <c r="P88" s="1"/>
  <c r="V10" i="40" s="1"/>
  <c r="P38" i="8"/>
  <c r="P60" s="1"/>
  <c r="P84" s="1"/>
  <c r="V6" i="40" s="1"/>
  <c r="O44" i="8"/>
  <c r="O66" s="1"/>
  <c r="O90" s="1"/>
  <c r="U12" i="40" s="1"/>
  <c r="U18"/>
  <c r="P39" i="8"/>
  <c r="P61" s="1"/>
  <c r="P85" s="1"/>
  <c r="V7" i="40" s="1"/>
  <c r="P40" i="8"/>
  <c r="P62" s="1"/>
  <c r="P86" s="1"/>
  <c r="V8" i="40" s="1"/>
  <c r="P49" i="8"/>
  <c r="P71" s="1"/>
  <c r="P95" s="1"/>
  <c r="V17" i="40" s="1"/>
  <c r="O43" i="8"/>
  <c r="O65" s="1"/>
  <c r="O89" s="1"/>
  <c r="P37"/>
  <c r="P59" s="1"/>
  <c r="P83" s="1"/>
  <c r="V5" i="40" s="1"/>
  <c r="N52" i="8"/>
  <c r="T13" i="40"/>
  <c r="O45" i="8"/>
  <c r="O67" s="1"/>
  <c r="O91" s="1"/>
  <c r="U13" i="40" s="1"/>
  <c r="P48" i="8"/>
  <c r="P70" s="1"/>
  <c r="P94" s="1"/>
  <c r="V16" i="40" s="1"/>
  <c r="O46" i="8"/>
  <c r="O68" s="1"/>
  <c r="O92" s="1"/>
  <c r="U14" i="40" s="1"/>
  <c r="U7"/>
  <c r="T11"/>
  <c r="N107" i="8"/>
  <c r="N144" s="1"/>
  <c r="U5" i="40"/>
  <c r="P36" i="8"/>
  <c r="L139"/>
  <c r="L174"/>
  <c r="L172"/>
  <c r="L153"/>
  <c r="L166"/>
  <c r="L158"/>
  <c r="L148"/>
  <c r="L100"/>
  <c r="L150"/>
  <c r="L173"/>
  <c r="L155"/>
  <c r="S4" i="40"/>
  <c r="M117" i="8"/>
  <c r="M135"/>
  <c r="M113"/>
  <c r="M128"/>
  <c r="M133"/>
  <c r="M124"/>
  <c r="M120"/>
  <c r="M126"/>
  <c r="M137"/>
  <c r="M134"/>
  <c r="M123"/>
  <c r="M115"/>
  <c r="M129"/>
  <c r="M108"/>
  <c r="M145" s="1"/>
  <c r="M110"/>
  <c r="M111"/>
  <c r="M112"/>
  <c r="M98"/>
  <c r="M109"/>
  <c r="M121"/>
  <c r="M136"/>
  <c r="M173" s="1"/>
  <c r="M114"/>
  <c r="M151" s="1"/>
  <c r="M130"/>
  <c r="M132"/>
  <c r="M116"/>
  <c r="M125"/>
  <c r="M162" s="1"/>
  <c r="M131"/>
  <c r="M168" s="1"/>
  <c r="M119"/>
  <c r="M127"/>
  <c r="M118"/>
  <c r="M122"/>
  <c r="O58"/>
  <c r="N74"/>
  <c r="N82"/>
  <c r="L170"/>
  <c r="L157"/>
  <c r="L162"/>
  <c r="L147"/>
  <c r="L154"/>
  <c r="L168"/>
  <c r="L163"/>
  <c r="L159"/>
  <c r="M169" l="1"/>
  <c r="M158"/>
  <c r="M148"/>
  <c r="O52"/>
  <c r="M166"/>
  <c r="M170"/>
  <c r="M100"/>
  <c r="M161"/>
  <c r="M164"/>
  <c r="M153"/>
  <c r="M149"/>
  <c r="M159"/>
  <c r="P43"/>
  <c r="P65" s="1"/>
  <c r="P89" s="1"/>
  <c r="U11" i="40"/>
  <c r="O107" i="8"/>
  <c r="O144" s="1"/>
  <c r="Q48"/>
  <c r="Q70" s="1"/>
  <c r="Q94" s="1"/>
  <c r="W16" i="40" s="1"/>
  <c r="Q37" i="8"/>
  <c r="Q59" s="1"/>
  <c r="Q83" s="1"/>
  <c r="Q49"/>
  <c r="Q71" s="1"/>
  <c r="Q95" s="1"/>
  <c r="W17" i="40" s="1"/>
  <c r="Q39" i="8"/>
  <c r="Q61" s="1"/>
  <c r="Q85" s="1"/>
  <c r="W7" i="40" s="1"/>
  <c r="P44" i="8"/>
  <c r="P66" s="1"/>
  <c r="P90" s="1"/>
  <c r="V12" i="40" s="1"/>
  <c r="Q42" i="8"/>
  <c r="Q64" s="1"/>
  <c r="Q88" s="1"/>
  <c r="W10" i="40" s="1"/>
  <c r="Q50" i="8"/>
  <c r="Q72" s="1"/>
  <c r="Q96" s="1"/>
  <c r="L176"/>
  <c r="L177" s="1"/>
  <c r="P46"/>
  <c r="P68" s="1"/>
  <c r="P92" s="1"/>
  <c r="V14" i="40" s="1"/>
  <c r="P45" i="8"/>
  <c r="P67" s="1"/>
  <c r="P91" s="1"/>
  <c r="V13" i="40" s="1"/>
  <c r="Q40" i="8"/>
  <c r="Q62" s="1"/>
  <c r="Q86" s="1"/>
  <c r="W8" i="40" s="1"/>
  <c r="Q38" i="8"/>
  <c r="Q60" s="1"/>
  <c r="Q84" s="1"/>
  <c r="W6" i="40" s="1"/>
  <c r="Q41" i="8"/>
  <c r="Q63" s="1"/>
  <c r="Q87" s="1"/>
  <c r="W9" i="40" s="1"/>
  <c r="Q35" i="8"/>
  <c r="Q57" s="1"/>
  <c r="Q81" s="1"/>
  <c r="W3" i="40" s="1"/>
  <c r="Q47" i="8"/>
  <c r="Q69" s="1"/>
  <c r="Q93" s="1"/>
  <c r="W15" i="40" s="1"/>
  <c r="P30" i="8"/>
  <c r="M139"/>
  <c r="M174"/>
  <c r="Q36"/>
  <c r="P58"/>
  <c r="T4" i="40"/>
  <c r="N120" i="8"/>
  <c r="N119"/>
  <c r="N123"/>
  <c r="N122"/>
  <c r="N121"/>
  <c r="N158" s="1"/>
  <c r="N131"/>
  <c r="N114"/>
  <c r="N115"/>
  <c r="N125"/>
  <c r="N108"/>
  <c r="N145" s="1"/>
  <c r="N110"/>
  <c r="N112"/>
  <c r="N124"/>
  <c r="N129"/>
  <c r="N132"/>
  <c r="N98"/>
  <c r="N100" s="1"/>
  <c r="N111"/>
  <c r="N136"/>
  <c r="N128"/>
  <c r="N116"/>
  <c r="N153" s="1"/>
  <c r="N135"/>
  <c r="N117"/>
  <c r="N109"/>
  <c r="N127"/>
  <c r="N113"/>
  <c r="N118"/>
  <c r="N155" s="1"/>
  <c r="N133"/>
  <c r="N170" s="1"/>
  <c r="N130"/>
  <c r="N126"/>
  <c r="N163" s="1"/>
  <c r="N134"/>
  <c r="N137"/>
  <c r="M154"/>
  <c r="M171"/>
  <c r="M172"/>
  <c r="M167"/>
  <c r="M146"/>
  <c r="M147"/>
  <c r="M160"/>
  <c r="M157"/>
  <c r="M150"/>
  <c r="O82"/>
  <c r="O74"/>
  <c r="M155"/>
  <c r="M156"/>
  <c r="M152"/>
  <c r="M163"/>
  <c r="M165"/>
  <c r="N171" l="1"/>
  <c r="N159"/>
  <c r="Q45"/>
  <c r="Q67" s="1"/>
  <c r="Q91" s="1"/>
  <c r="W13" i="40" s="1"/>
  <c r="R42" i="8"/>
  <c r="R64" s="1"/>
  <c r="R88" s="1"/>
  <c r="X10" i="40" s="1"/>
  <c r="R39" i="8"/>
  <c r="R61" s="1"/>
  <c r="R85" s="1"/>
  <c r="X7" i="40" s="1"/>
  <c r="R37" i="8"/>
  <c r="R59" s="1"/>
  <c r="R83" s="1"/>
  <c r="X5" i="40" s="1"/>
  <c r="R50" i="8"/>
  <c r="R72" s="1"/>
  <c r="R96" s="1"/>
  <c r="X18" i="40" s="1"/>
  <c r="Q44" i="8"/>
  <c r="Q66" s="1"/>
  <c r="Q90" s="1"/>
  <c r="W12" i="40" s="1"/>
  <c r="R49" i="8"/>
  <c r="R71" s="1"/>
  <c r="R95" s="1"/>
  <c r="X17" i="40" s="1"/>
  <c r="R48" i="8"/>
  <c r="R70" s="1"/>
  <c r="R94" s="1"/>
  <c r="X16" i="40" s="1"/>
  <c r="Q43" i="8"/>
  <c r="Q65" s="1"/>
  <c r="Q89" s="1"/>
  <c r="N150"/>
  <c r="N165"/>
  <c r="N151"/>
  <c r="N160"/>
  <c r="R35"/>
  <c r="R57" s="1"/>
  <c r="R81" s="1"/>
  <c r="X3" i="40" s="1"/>
  <c r="R38" i="8"/>
  <c r="R60" s="1"/>
  <c r="R84" s="1"/>
  <c r="X6" i="40" s="1"/>
  <c r="W18"/>
  <c r="V11"/>
  <c r="P107" i="8"/>
  <c r="P144" s="1"/>
  <c r="R47"/>
  <c r="R69" s="1"/>
  <c r="R93" s="1"/>
  <c r="X15" i="40" s="1"/>
  <c r="R41" i="8"/>
  <c r="R63" s="1"/>
  <c r="R87" s="1"/>
  <c r="X9" i="40" s="1"/>
  <c r="R40" i="8"/>
  <c r="R62" s="1"/>
  <c r="R86" s="1"/>
  <c r="X8" i="40" s="1"/>
  <c r="Q46" i="8"/>
  <c r="Q68" s="1"/>
  <c r="Q92" s="1"/>
  <c r="W14" i="40" s="1"/>
  <c r="W5"/>
  <c r="M176" i="8"/>
  <c r="M177" s="1"/>
  <c r="Q30"/>
  <c r="N154"/>
  <c r="N173"/>
  <c r="N166"/>
  <c r="N168"/>
  <c r="P52"/>
  <c r="N156"/>
  <c r="N169"/>
  <c r="N172"/>
  <c r="N148"/>
  <c r="N161"/>
  <c r="N162"/>
  <c r="N157"/>
  <c r="U4" i="40"/>
  <c r="O123" i="8"/>
  <c r="O110"/>
  <c r="O114"/>
  <c r="O127"/>
  <c r="O134"/>
  <c r="O131"/>
  <c r="O132"/>
  <c r="O136"/>
  <c r="O128"/>
  <c r="O129"/>
  <c r="O109"/>
  <c r="O133"/>
  <c r="O137"/>
  <c r="O120"/>
  <c r="O135"/>
  <c r="O126"/>
  <c r="O125"/>
  <c r="O162" s="1"/>
  <c r="O124"/>
  <c r="O112"/>
  <c r="O108"/>
  <c r="O145" s="1"/>
  <c r="O118"/>
  <c r="O130"/>
  <c r="O167" s="1"/>
  <c r="O121"/>
  <c r="O117"/>
  <c r="O98"/>
  <c r="O100" s="1"/>
  <c r="O115"/>
  <c r="O111"/>
  <c r="O113"/>
  <c r="O122"/>
  <c r="O119"/>
  <c r="O116"/>
  <c r="N139"/>
  <c r="N174"/>
  <c r="P82"/>
  <c r="P74"/>
  <c r="R36"/>
  <c r="Q58"/>
  <c r="N146"/>
  <c r="N147"/>
  <c r="N167"/>
  <c r="N164"/>
  <c r="N149"/>
  <c r="N152"/>
  <c r="Q52" l="1"/>
  <c r="O153"/>
  <c r="O148"/>
  <c r="O158"/>
  <c r="O172"/>
  <c r="O169"/>
  <c r="O163"/>
  <c r="W11" i="40"/>
  <c r="Q107" i="8"/>
  <c r="Q144" s="1"/>
  <c r="S40"/>
  <c r="S62" s="1"/>
  <c r="S86" s="1"/>
  <c r="Y8" i="40" s="1"/>
  <c r="S47" i="8"/>
  <c r="S69" s="1"/>
  <c r="S93" s="1"/>
  <c r="Y15" i="40" s="1"/>
  <c r="S35" i="8"/>
  <c r="S57" s="1"/>
  <c r="S81" s="1"/>
  <c r="Y3" i="40" s="1"/>
  <c r="S48" i="8"/>
  <c r="S70" s="1"/>
  <c r="S94" s="1"/>
  <c r="Y16" i="40" s="1"/>
  <c r="R44" i="8"/>
  <c r="R66" s="1"/>
  <c r="R90" s="1"/>
  <c r="X12" i="40" s="1"/>
  <c r="S37" i="8"/>
  <c r="S59" s="1"/>
  <c r="S83" s="1"/>
  <c r="Y5" i="40" s="1"/>
  <c r="S42" i="8"/>
  <c r="S64" s="1"/>
  <c r="S88" s="1"/>
  <c r="Y10" i="40" s="1"/>
  <c r="R46" i="8"/>
  <c r="R68" s="1"/>
  <c r="R92" s="1"/>
  <c r="X14" i="40" s="1"/>
  <c r="S41" i="8"/>
  <c r="S63" s="1"/>
  <c r="S87" s="1"/>
  <c r="Y9" i="40" s="1"/>
  <c r="S38" i="8"/>
  <c r="S60" s="1"/>
  <c r="S84" s="1"/>
  <c r="Y6" i="40" s="1"/>
  <c r="R43" i="8"/>
  <c r="R65" s="1"/>
  <c r="R89" s="1"/>
  <c r="S49"/>
  <c r="S71" s="1"/>
  <c r="S95" s="1"/>
  <c r="Y17" i="40" s="1"/>
  <c r="S50" i="8"/>
  <c r="S72" s="1"/>
  <c r="S96" s="1"/>
  <c r="Y18" i="40" s="1"/>
  <c r="S39" i="8"/>
  <c r="S61" s="1"/>
  <c r="S85" s="1"/>
  <c r="Y7" i="40" s="1"/>
  <c r="R45" i="8"/>
  <c r="R67" s="1"/>
  <c r="R91" s="1"/>
  <c r="X13" i="40" s="1"/>
  <c r="O150" i="8"/>
  <c r="O170"/>
  <c r="N176"/>
  <c r="N177" s="1"/>
  <c r="R30"/>
  <c r="O154"/>
  <c r="O173"/>
  <c r="S36"/>
  <c r="O174"/>
  <c r="O139"/>
  <c r="R58"/>
  <c r="V4" i="40"/>
  <c r="P120" i="8"/>
  <c r="P137"/>
  <c r="P116"/>
  <c r="P128"/>
  <c r="P111"/>
  <c r="P118"/>
  <c r="P127"/>
  <c r="P108"/>
  <c r="P145" s="1"/>
  <c r="P117"/>
  <c r="P113"/>
  <c r="P135"/>
  <c r="P131"/>
  <c r="P133"/>
  <c r="P130"/>
  <c r="P109"/>
  <c r="P110"/>
  <c r="P114"/>
  <c r="P136"/>
  <c r="P98"/>
  <c r="P100" s="1"/>
  <c r="P119"/>
  <c r="P126"/>
  <c r="P115"/>
  <c r="P112"/>
  <c r="P122"/>
  <c r="P121"/>
  <c r="P158" s="1"/>
  <c r="P129"/>
  <c r="P125"/>
  <c r="P132"/>
  <c r="P169" s="1"/>
  <c r="P123"/>
  <c r="P124"/>
  <c r="P134"/>
  <c r="O164"/>
  <c r="O159"/>
  <c r="O155"/>
  <c r="O165"/>
  <c r="O171"/>
  <c r="O160"/>
  <c r="O156"/>
  <c r="O152"/>
  <c r="O161"/>
  <c r="O157"/>
  <c r="O166"/>
  <c r="O168"/>
  <c r="O147"/>
  <c r="Q74"/>
  <c r="Q82"/>
  <c r="O149"/>
  <c r="O146"/>
  <c r="O151"/>
  <c r="O176" l="1"/>
  <c r="O177" s="1"/>
  <c r="P163"/>
  <c r="P151"/>
  <c r="P154"/>
  <c r="P173"/>
  <c r="S45"/>
  <c r="S67" s="1"/>
  <c r="S91" s="1"/>
  <c r="Y13" i="40" s="1"/>
  <c r="T50" i="8"/>
  <c r="T72" s="1"/>
  <c r="T96" s="1"/>
  <c r="Z18" i="40" s="1"/>
  <c r="S43" i="8"/>
  <c r="S65" s="1"/>
  <c r="S89" s="1"/>
  <c r="T42"/>
  <c r="T64" s="1"/>
  <c r="T88" s="1"/>
  <c r="Z10" i="40" s="1"/>
  <c r="S44" i="8"/>
  <c r="S66" s="1"/>
  <c r="S90" s="1"/>
  <c r="Y12" i="40" s="1"/>
  <c r="T35" i="8"/>
  <c r="T57" s="1"/>
  <c r="T81" s="1"/>
  <c r="Z3" i="40" s="1"/>
  <c r="T40" i="8"/>
  <c r="T62" s="1"/>
  <c r="T86" s="1"/>
  <c r="Z8" i="40" s="1"/>
  <c r="T39" i="8"/>
  <c r="T61" s="1"/>
  <c r="T85" s="1"/>
  <c r="Z7" i="40" s="1"/>
  <c r="T49" i="8"/>
  <c r="T71" s="1"/>
  <c r="T95" s="1"/>
  <c r="Z17" i="40" s="1"/>
  <c r="T38" i="8"/>
  <c r="T60" s="1"/>
  <c r="T84" s="1"/>
  <c r="Z6" i="40" s="1"/>
  <c r="S46" i="8"/>
  <c r="S68" s="1"/>
  <c r="S92" s="1"/>
  <c r="Y14" i="40" s="1"/>
  <c r="T37" i="8"/>
  <c r="T59" s="1"/>
  <c r="T83" s="1"/>
  <c r="Z5" i="40" s="1"/>
  <c r="T48" i="8"/>
  <c r="T70" s="1"/>
  <c r="T94" s="1"/>
  <c r="Z16" i="40" s="1"/>
  <c r="T47" i="8"/>
  <c r="T69" s="1"/>
  <c r="T93" s="1"/>
  <c r="Z15" i="40" s="1"/>
  <c r="P160" i="8"/>
  <c r="P148"/>
  <c r="P166"/>
  <c r="P146"/>
  <c r="S30"/>
  <c r="T41"/>
  <c r="T63" s="1"/>
  <c r="T87" s="1"/>
  <c r="Z9" i="40" s="1"/>
  <c r="X11"/>
  <c r="R107" i="8"/>
  <c r="R144" s="1"/>
  <c r="P170"/>
  <c r="P157"/>
  <c r="P150"/>
  <c r="R52"/>
  <c r="T36"/>
  <c r="P139"/>
  <c r="P174"/>
  <c r="R82"/>
  <c r="R74"/>
  <c r="P152"/>
  <c r="P167"/>
  <c r="P171"/>
  <c r="P162"/>
  <c r="P149"/>
  <c r="P172"/>
  <c r="P164"/>
  <c r="P153"/>
  <c r="W4" i="40"/>
  <c r="Q131" i="8"/>
  <c r="Q133"/>
  <c r="Q109"/>
  <c r="Q130"/>
  <c r="Q115"/>
  <c r="Q128"/>
  <c r="Q98"/>
  <c r="Q100" s="1"/>
  <c r="Q122"/>
  <c r="Q118"/>
  <c r="Q132"/>
  <c r="Q123"/>
  <c r="Q136"/>
  <c r="Q137"/>
  <c r="Q120"/>
  <c r="Q111"/>
  <c r="Q135"/>
  <c r="Q119"/>
  <c r="Q156" s="1"/>
  <c r="Q114"/>
  <c r="Q127"/>
  <c r="Q121"/>
  <c r="Q116"/>
  <c r="Q153" s="1"/>
  <c r="Q112"/>
  <c r="Q149" s="1"/>
  <c r="Q108"/>
  <c r="Q145" s="1"/>
  <c r="Q126"/>
  <c r="Q163" s="1"/>
  <c r="Q124"/>
  <c r="Q161" s="1"/>
  <c r="Q110"/>
  <c r="Q147" s="1"/>
  <c r="Q125"/>
  <c r="Q117"/>
  <c r="Q113"/>
  <c r="Q129"/>
  <c r="Q166" s="1"/>
  <c r="Q134"/>
  <c r="S58"/>
  <c r="S52"/>
  <c r="P161"/>
  <c r="P155"/>
  <c r="P159"/>
  <c r="P156"/>
  <c r="P147"/>
  <c r="P168"/>
  <c r="P165"/>
  <c r="Q150" l="1"/>
  <c r="Q152"/>
  <c r="U48"/>
  <c r="U70" s="1"/>
  <c r="U94" s="1"/>
  <c r="AA16" i="40" s="1"/>
  <c r="T46" i="8"/>
  <c r="T68" s="1"/>
  <c r="T92" s="1"/>
  <c r="Z14" i="40" s="1"/>
  <c r="U49" i="8"/>
  <c r="U71" s="1"/>
  <c r="U95" s="1"/>
  <c r="AA17" i="40" s="1"/>
  <c r="U40" i="8"/>
  <c r="U62" s="1"/>
  <c r="U86" s="1"/>
  <c r="AA8" i="40" s="1"/>
  <c r="T44" i="8"/>
  <c r="T66" s="1"/>
  <c r="T90" s="1"/>
  <c r="Z12" i="40" s="1"/>
  <c r="T43" i="8"/>
  <c r="T65" s="1"/>
  <c r="T89" s="1"/>
  <c r="T45"/>
  <c r="T67" s="1"/>
  <c r="T91" s="1"/>
  <c r="Z13" i="40" s="1"/>
  <c r="Y11"/>
  <c r="S107" i="8"/>
  <c r="S144" s="1"/>
  <c r="U47"/>
  <c r="U69" s="1"/>
  <c r="U93" s="1"/>
  <c r="AA15" i="40" s="1"/>
  <c r="U37" i="8"/>
  <c r="U59" s="1"/>
  <c r="U83" s="1"/>
  <c r="AA5" i="40" s="1"/>
  <c r="U38" i="8"/>
  <c r="U60" s="1"/>
  <c r="U84" s="1"/>
  <c r="AA6" i="40" s="1"/>
  <c r="U39" i="8"/>
  <c r="U61" s="1"/>
  <c r="U85" s="1"/>
  <c r="AA7" i="40" s="1"/>
  <c r="U35" i="8"/>
  <c r="U57" s="1"/>
  <c r="U81" s="1"/>
  <c r="AA3" i="40" s="1"/>
  <c r="U42" i="8"/>
  <c r="U64" s="1"/>
  <c r="U88" s="1"/>
  <c r="AA10" i="40" s="1"/>
  <c r="U50" i="8"/>
  <c r="U72" s="1"/>
  <c r="U96" s="1"/>
  <c r="AA18" i="40" s="1"/>
  <c r="Q155" i="8"/>
  <c r="Q165"/>
  <c r="T30"/>
  <c r="U41"/>
  <c r="U63" s="1"/>
  <c r="U87" s="1"/>
  <c r="AA9" i="40" s="1"/>
  <c r="Q168" i="8"/>
  <c r="P176"/>
  <c r="P177" s="1"/>
  <c r="U36"/>
  <c r="X4" i="40"/>
  <c r="R108" i="8"/>
  <c r="R145" s="1"/>
  <c r="R137"/>
  <c r="R122"/>
  <c r="R127"/>
  <c r="R131"/>
  <c r="R135"/>
  <c r="R114"/>
  <c r="R124"/>
  <c r="R128"/>
  <c r="R113"/>
  <c r="R116"/>
  <c r="R115"/>
  <c r="R112"/>
  <c r="R133"/>
  <c r="R121"/>
  <c r="R119"/>
  <c r="R125"/>
  <c r="R109"/>
  <c r="R117"/>
  <c r="R154" s="1"/>
  <c r="R111"/>
  <c r="R130"/>
  <c r="R118"/>
  <c r="R134"/>
  <c r="R129"/>
  <c r="R126"/>
  <c r="R163" s="1"/>
  <c r="R110"/>
  <c r="R147" s="1"/>
  <c r="R98"/>
  <c r="R100" s="1"/>
  <c r="R123"/>
  <c r="R120"/>
  <c r="R132"/>
  <c r="R136"/>
  <c r="T58"/>
  <c r="T52"/>
  <c r="Q169"/>
  <c r="Q170"/>
  <c r="Q171"/>
  <c r="Q162"/>
  <c r="Q164"/>
  <c r="Q148"/>
  <c r="Q160"/>
  <c r="Q146"/>
  <c r="Q139"/>
  <c r="Q174"/>
  <c r="S82"/>
  <c r="S74"/>
  <c r="Q151"/>
  <c r="Q157"/>
  <c r="Q154"/>
  <c r="Q158"/>
  <c r="Q172"/>
  <c r="Q173"/>
  <c r="Q159"/>
  <c r="Q167"/>
  <c r="R155" l="1"/>
  <c r="V50"/>
  <c r="V72" s="1"/>
  <c r="V96" s="1"/>
  <c r="AB18" i="40" s="1"/>
  <c r="V35" i="8"/>
  <c r="V57" s="1"/>
  <c r="V81" s="1"/>
  <c r="AB3" i="40" s="1"/>
  <c r="V38" i="8"/>
  <c r="V60" s="1"/>
  <c r="V84" s="1"/>
  <c r="AB6" i="40" s="1"/>
  <c r="V47" i="8"/>
  <c r="V69" s="1"/>
  <c r="V93" s="1"/>
  <c r="AB15" i="40" s="1"/>
  <c r="U45" i="8"/>
  <c r="U67" s="1"/>
  <c r="U91" s="1"/>
  <c r="AA13" i="40" s="1"/>
  <c r="U44" i="8"/>
  <c r="U66" s="1"/>
  <c r="U90" s="1"/>
  <c r="AA12" i="40" s="1"/>
  <c r="V49" i="8"/>
  <c r="V71" s="1"/>
  <c r="V95" s="1"/>
  <c r="AB17" i="40" s="1"/>
  <c r="V48" i="8"/>
  <c r="V70" s="1"/>
  <c r="V94" s="1"/>
  <c r="AB16" i="40" s="1"/>
  <c r="V41" i="8"/>
  <c r="V63" s="1"/>
  <c r="V87" s="1"/>
  <c r="AB9" i="40" s="1"/>
  <c r="V42" i="8"/>
  <c r="V64" s="1"/>
  <c r="V88" s="1"/>
  <c r="AB10" i="40" s="1"/>
  <c r="V39" i="8"/>
  <c r="V61" s="1"/>
  <c r="V85" s="1"/>
  <c r="AB7" i="40" s="1"/>
  <c r="V37" i="8"/>
  <c r="V59" s="1"/>
  <c r="V83" s="1"/>
  <c r="AB5" i="40" s="1"/>
  <c r="V30" i="8"/>
  <c r="U43"/>
  <c r="U65" s="1"/>
  <c r="U89" s="1"/>
  <c r="V40"/>
  <c r="V62" s="1"/>
  <c r="V86" s="1"/>
  <c r="AB8" i="40" s="1"/>
  <c r="U46" i="8"/>
  <c r="U68" s="1"/>
  <c r="U92" s="1"/>
  <c r="AA14" i="40" s="1"/>
  <c r="Q176" i="8"/>
  <c r="Q177" s="1"/>
  <c r="R162"/>
  <c r="R165"/>
  <c r="R172"/>
  <c r="U30"/>
  <c r="Z11" i="40"/>
  <c r="T107" i="8"/>
  <c r="T144" s="1"/>
  <c r="R157"/>
  <c r="R167"/>
  <c r="R149"/>
  <c r="R153"/>
  <c r="V36"/>
  <c r="R168"/>
  <c r="R170"/>
  <c r="Y4" i="40"/>
  <c r="S122" i="8"/>
  <c r="S98"/>
  <c r="S100" s="1"/>
  <c r="S126"/>
  <c r="S118"/>
  <c r="S116"/>
  <c r="S112"/>
  <c r="S111"/>
  <c r="S117"/>
  <c r="S130"/>
  <c r="S113"/>
  <c r="S135"/>
  <c r="S128"/>
  <c r="S127"/>
  <c r="S132"/>
  <c r="S129"/>
  <c r="S137"/>
  <c r="S120"/>
  <c r="S115"/>
  <c r="S114"/>
  <c r="S131"/>
  <c r="S168" s="1"/>
  <c r="S123"/>
  <c r="S160" s="1"/>
  <c r="S108"/>
  <c r="S145" s="1"/>
  <c r="S119"/>
  <c r="S110"/>
  <c r="S124"/>
  <c r="S161" s="1"/>
  <c r="S109"/>
  <c r="S146" s="1"/>
  <c r="S125"/>
  <c r="S136"/>
  <c r="S121"/>
  <c r="S158" s="1"/>
  <c r="S133"/>
  <c r="S170" s="1"/>
  <c r="S134"/>
  <c r="R174"/>
  <c r="R139"/>
  <c r="U58"/>
  <c r="T82"/>
  <c r="T74"/>
  <c r="R169"/>
  <c r="R146"/>
  <c r="R150"/>
  <c r="R173"/>
  <c r="R171"/>
  <c r="R158"/>
  <c r="R151"/>
  <c r="R159"/>
  <c r="R160"/>
  <c r="R166"/>
  <c r="R148"/>
  <c r="R156"/>
  <c r="R152"/>
  <c r="R161"/>
  <c r="R164"/>
  <c r="S152" l="1"/>
  <c r="S149"/>
  <c r="S169"/>
  <c r="S162"/>
  <c r="S156"/>
  <c r="S166"/>
  <c r="S148"/>
  <c r="S150"/>
  <c r="R176"/>
  <c r="R177" s="1"/>
  <c r="U52"/>
  <c r="AA11" i="40"/>
  <c r="U107" i="8"/>
  <c r="U144" s="1"/>
  <c r="W40"/>
  <c r="W62" s="1"/>
  <c r="W86" s="1"/>
  <c r="AC8" i="40" s="1"/>
  <c r="W37" i="8"/>
  <c r="W59" s="1"/>
  <c r="W83" s="1"/>
  <c r="AC5" i="40" s="1"/>
  <c r="W42" i="8"/>
  <c r="W64" s="1"/>
  <c r="W88" s="1"/>
  <c r="AC10" i="40" s="1"/>
  <c r="W48" i="8"/>
  <c r="W70" s="1"/>
  <c r="W94" s="1"/>
  <c r="AC16" i="40" s="1"/>
  <c r="V44" i="8"/>
  <c r="V66" s="1"/>
  <c r="V90" s="1"/>
  <c r="AB12" i="40" s="1"/>
  <c r="W47" i="8"/>
  <c r="W69" s="1"/>
  <c r="W93" s="1"/>
  <c r="AC15" i="40" s="1"/>
  <c r="W35" i="8"/>
  <c r="W57" s="1"/>
  <c r="W81" s="1"/>
  <c r="AC3" i="40" s="1"/>
  <c r="V46" i="8"/>
  <c r="V68" s="1"/>
  <c r="V92" s="1"/>
  <c r="AB14" i="40" s="1"/>
  <c r="V43" i="8"/>
  <c r="V65" s="1"/>
  <c r="V89" s="1"/>
  <c r="W39"/>
  <c r="W61" s="1"/>
  <c r="W85" s="1"/>
  <c r="AC7" i="40" s="1"/>
  <c r="W41" i="8"/>
  <c r="W63" s="1"/>
  <c r="W87" s="1"/>
  <c r="AC9" i="40" s="1"/>
  <c r="W49" i="8"/>
  <c r="W71" s="1"/>
  <c r="W95" s="1"/>
  <c r="AC17" i="40" s="1"/>
  <c r="V45" i="8"/>
  <c r="V67" s="1"/>
  <c r="V91" s="1"/>
  <c r="AB13" i="40" s="1"/>
  <c r="W38" i="8"/>
  <c r="W60" s="1"/>
  <c r="W84" s="1"/>
  <c r="AC6" i="40" s="1"/>
  <c r="W50" i="8"/>
  <c r="W72" s="1"/>
  <c r="W96" s="1"/>
  <c r="AC18" i="40" s="1"/>
  <c r="U74" i="8"/>
  <c r="U82"/>
  <c r="Z4" i="40"/>
  <c r="T109" i="8"/>
  <c r="T115"/>
  <c r="T135"/>
  <c r="T122"/>
  <c r="T126"/>
  <c r="T113"/>
  <c r="T112"/>
  <c r="T108"/>
  <c r="T145" s="1"/>
  <c r="T127"/>
  <c r="T164" s="1"/>
  <c r="T118"/>
  <c r="T114"/>
  <c r="T123"/>
  <c r="T160" s="1"/>
  <c r="T125"/>
  <c r="T116"/>
  <c r="T153" s="1"/>
  <c r="T110"/>
  <c r="T119"/>
  <c r="T132"/>
  <c r="T128"/>
  <c r="T137"/>
  <c r="T121"/>
  <c r="T111"/>
  <c r="T124"/>
  <c r="T131"/>
  <c r="T120"/>
  <c r="T157" s="1"/>
  <c r="T129"/>
  <c r="T134"/>
  <c r="T133"/>
  <c r="T130"/>
  <c r="T117"/>
  <c r="T98"/>
  <c r="T100" s="1"/>
  <c r="T136"/>
  <c r="T173" s="1"/>
  <c r="S174"/>
  <c r="S139"/>
  <c r="V58"/>
  <c r="S171"/>
  <c r="S163"/>
  <c r="S173"/>
  <c r="S147"/>
  <c r="S165"/>
  <c r="S154"/>
  <c r="S155"/>
  <c r="W36"/>
  <c r="S151"/>
  <c r="S172"/>
  <c r="S157"/>
  <c r="S164"/>
  <c r="S167"/>
  <c r="S153"/>
  <c r="S159"/>
  <c r="T165" l="1"/>
  <c r="T170"/>
  <c r="T168"/>
  <c r="T147"/>
  <c r="T149"/>
  <c r="W45"/>
  <c r="W67" s="1"/>
  <c r="W91" s="1"/>
  <c r="AC13" i="40" s="1"/>
  <c r="W43" i="8"/>
  <c r="W65" s="1"/>
  <c r="W89" s="1"/>
  <c r="W44"/>
  <c r="W66" s="1"/>
  <c r="W90" s="1"/>
  <c r="AC12" i="40" s="1"/>
  <c r="AA40" i="8"/>
  <c r="Y86" s="1"/>
  <c r="AE8" i="40" s="1"/>
  <c r="X40" i="8"/>
  <c r="X62" s="1"/>
  <c r="AA38"/>
  <c r="Y84" s="1"/>
  <c r="AE6" i="40" s="1"/>
  <c r="X38" i="8"/>
  <c r="X60" s="1"/>
  <c r="X49"/>
  <c r="X71" s="1"/>
  <c r="X95" s="1"/>
  <c r="AA49"/>
  <c r="Y95" s="1"/>
  <c r="AE17" i="40" s="1"/>
  <c r="X39" i="8"/>
  <c r="X61" s="1"/>
  <c r="AA39"/>
  <c r="Y85" s="1"/>
  <c r="AE7" i="40" s="1"/>
  <c r="W46" i="8"/>
  <c r="W68" s="1"/>
  <c r="W92" s="1"/>
  <c r="AC14" i="40" s="1"/>
  <c r="X47" i="8"/>
  <c r="X69" s="1"/>
  <c r="X93" s="1"/>
  <c r="AA47"/>
  <c r="Y93" s="1"/>
  <c r="AE15" i="40" s="1"/>
  <c r="X48" i="8"/>
  <c r="X70" s="1"/>
  <c r="X94" s="1"/>
  <c r="AA48"/>
  <c r="Y94" s="1"/>
  <c r="AE16" i="40" s="1"/>
  <c r="AA37" i="8"/>
  <c r="Y83" s="1"/>
  <c r="AE5" i="40" s="1"/>
  <c r="X37" i="8"/>
  <c r="X59" s="1"/>
  <c r="W30"/>
  <c r="V52"/>
  <c r="T171"/>
  <c r="T161"/>
  <c r="T155"/>
  <c r="T150"/>
  <c r="T152"/>
  <c r="AA50"/>
  <c r="Y96" s="1"/>
  <c r="AE18" i="40" s="1"/>
  <c r="X50" i="8"/>
  <c r="X72" s="1"/>
  <c r="AA41"/>
  <c r="Y87" s="1"/>
  <c r="AE9" i="40" s="1"/>
  <c r="X41" i="8"/>
  <c r="X63" s="1"/>
  <c r="X35"/>
  <c r="X57" s="1"/>
  <c r="AA35"/>
  <c r="Y81" s="1"/>
  <c r="AE3" i="40" s="1"/>
  <c r="AA42" i="8"/>
  <c r="Y88" s="1"/>
  <c r="AE10" i="40" s="1"/>
  <c r="X42" i="8"/>
  <c r="X64" s="1"/>
  <c r="AB11" i="40"/>
  <c r="V107" i="8"/>
  <c r="V144" s="1"/>
  <c r="S176"/>
  <c r="S177" s="1"/>
  <c r="X30"/>
  <c r="X36"/>
  <c r="AA36"/>
  <c r="Y82" s="1"/>
  <c r="V74"/>
  <c r="V82"/>
  <c r="AA4" i="40"/>
  <c r="U109" i="8"/>
  <c r="U132"/>
  <c r="U115"/>
  <c r="U122"/>
  <c r="U136"/>
  <c r="U129"/>
  <c r="U98"/>
  <c r="U100" s="1"/>
  <c r="U118"/>
  <c r="U108"/>
  <c r="U145" s="1"/>
  <c r="U137"/>
  <c r="U125"/>
  <c r="U123"/>
  <c r="U160" s="1"/>
  <c r="U111"/>
  <c r="U119"/>
  <c r="U110"/>
  <c r="U130"/>
  <c r="U114"/>
  <c r="U127"/>
  <c r="U116"/>
  <c r="U153" s="1"/>
  <c r="U124"/>
  <c r="U161" s="1"/>
  <c r="U112"/>
  <c r="U149" s="1"/>
  <c r="U134"/>
  <c r="U121"/>
  <c r="U133"/>
  <c r="U170" s="1"/>
  <c r="U117"/>
  <c r="U135"/>
  <c r="U128"/>
  <c r="U113"/>
  <c r="U150" s="1"/>
  <c r="U126"/>
  <c r="U120"/>
  <c r="U157" s="1"/>
  <c r="U131"/>
  <c r="W58"/>
  <c r="T172"/>
  <c r="T167"/>
  <c r="T158"/>
  <c r="T156"/>
  <c r="T159"/>
  <c r="T139"/>
  <c r="T174"/>
  <c r="T151"/>
  <c r="T154"/>
  <c r="T166"/>
  <c r="T148"/>
  <c r="T169"/>
  <c r="T162"/>
  <c r="T163"/>
  <c r="T146"/>
  <c r="U167" l="1"/>
  <c r="U155"/>
  <c r="U172"/>
  <c r="X88"/>
  <c r="AA64"/>
  <c r="X87"/>
  <c r="AA63"/>
  <c r="AD15" i="40"/>
  <c r="AA93" i="8"/>
  <c r="X85"/>
  <c r="AA61"/>
  <c r="X44"/>
  <c r="X66" s="1"/>
  <c r="X90" s="1"/>
  <c r="AA44"/>
  <c r="Y90" s="1"/>
  <c r="AE12" i="40" s="1"/>
  <c r="AA45" i="8"/>
  <c r="Y91" s="1"/>
  <c r="AE13" i="40" s="1"/>
  <c r="X45" i="8"/>
  <c r="X67" s="1"/>
  <c r="X91" s="1"/>
  <c r="X81"/>
  <c r="AA57"/>
  <c r="X83"/>
  <c r="AA59"/>
  <c r="X84"/>
  <c r="AA60"/>
  <c r="X96"/>
  <c r="AA72"/>
  <c r="AD16" i="40"/>
  <c r="AA94" i="8"/>
  <c r="X46"/>
  <c r="X68" s="1"/>
  <c r="AA46"/>
  <c r="Y92" s="1"/>
  <c r="AE14" i="40" s="1"/>
  <c r="AD17"/>
  <c r="AA95" i="8"/>
  <c r="X43"/>
  <c r="X65" s="1"/>
  <c r="X89" s="1"/>
  <c r="AA43"/>
  <c r="Y89" s="1"/>
  <c r="T176"/>
  <c r="T177" s="1"/>
  <c r="U159"/>
  <c r="W52"/>
  <c r="U163"/>
  <c r="U154"/>
  <c r="U148"/>
  <c r="U173"/>
  <c r="X86"/>
  <c r="AA62"/>
  <c r="AC11" i="40"/>
  <c r="W107" i="8"/>
  <c r="W144" s="1"/>
  <c r="W74"/>
  <c r="W82"/>
  <c r="X58"/>
  <c r="AE4" i="40"/>
  <c r="AB4"/>
  <c r="V128" i="8"/>
  <c r="V112"/>
  <c r="V108"/>
  <c r="V145" s="1"/>
  <c r="V109"/>
  <c r="V111"/>
  <c r="V134"/>
  <c r="V130"/>
  <c r="V137"/>
  <c r="V117"/>
  <c r="V113"/>
  <c r="V150" s="1"/>
  <c r="V123"/>
  <c r="V127"/>
  <c r="V119"/>
  <c r="V98"/>
  <c r="V100" s="1"/>
  <c r="V115"/>
  <c r="V136"/>
  <c r="V129"/>
  <c r="V166" s="1"/>
  <c r="V121"/>
  <c r="V116"/>
  <c r="V153" s="1"/>
  <c r="V131"/>
  <c r="V122"/>
  <c r="V118"/>
  <c r="V126"/>
  <c r="V110"/>
  <c r="V147" s="1"/>
  <c r="V133"/>
  <c r="V124"/>
  <c r="V161" s="1"/>
  <c r="V125"/>
  <c r="V132"/>
  <c r="V169" s="1"/>
  <c r="V120"/>
  <c r="V157" s="1"/>
  <c r="V114"/>
  <c r="V151" s="1"/>
  <c r="V135"/>
  <c r="U146"/>
  <c r="U168"/>
  <c r="U165"/>
  <c r="U158"/>
  <c r="U147"/>
  <c r="U162"/>
  <c r="U152"/>
  <c r="U139"/>
  <c r="U174"/>
  <c r="U151"/>
  <c r="U171"/>
  <c r="U164"/>
  <c r="U156"/>
  <c r="U166"/>
  <c r="U169"/>
  <c r="Y111" l="1"/>
  <c r="Y136"/>
  <c r="Y112"/>
  <c r="V170"/>
  <c r="V159"/>
  <c r="V156"/>
  <c r="V154"/>
  <c r="V148"/>
  <c r="V165"/>
  <c r="Y110"/>
  <c r="Y130"/>
  <c r="Y168" s="1"/>
  <c r="Y118"/>
  <c r="Y134"/>
  <c r="Y127"/>
  <c r="Y125"/>
  <c r="Y113"/>
  <c r="Y121"/>
  <c r="Y131"/>
  <c r="Y135"/>
  <c r="Y128"/>
  <c r="Y165" s="1"/>
  <c r="Y137"/>
  <c r="Y174" s="1"/>
  <c r="Y116"/>
  <c r="AD6" i="40"/>
  <c r="AA84" i="8"/>
  <c r="AD3" i="40"/>
  <c r="AA81" i="8"/>
  <c r="AD11" i="40"/>
  <c r="X107" i="8"/>
  <c r="X144" s="1"/>
  <c r="AA89"/>
  <c r="X92"/>
  <c r="AA68"/>
  <c r="AD18" i="40"/>
  <c r="AA96" i="8"/>
  <c r="AD5" i="40"/>
  <c r="AA83" i="8"/>
  <c r="AD7" i="40"/>
  <c r="AA85" i="8"/>
  <c r="AD9" i="40"/>
  <c r="AA87" i="8"/>
  <c r="Y133"/>
  <c r="Y132"/>
  <c r="Y120"/>
  <c r="Y109"/>
  <c r="Y126"/>
  <c r="Y164" s="1"/>
  <c r="Y123"/>
  <c r="Y129"/>
  <c r="Y122"/>
  <c r="X52"/>
  <c r="AA52" s="1"/>
  <c r="AD12" i="40"/>
  <c r="AA90" i="8"/>
  <c r="AD10" i="40"/>
  <c r="AA88" i="8"/>
  <c r="AD8" i="40"/>
  <c r="AA86" i="8"/>
  <c r="AE11" i="40"/>
  <c r="Y107" i="8"/>
  <c r="Y144" s="1"/>
  <c r="AD13" i="40"/>
  <c r="AA91" i="8"/>
  <c r="U176"/>
  <c r="U177" s="1"/>
  <c r="Y124"/>
  <c r="Y98"/>
  <c r="Y115"/>
  <c r="Y153" s="1"/>
  <c r="Y117"/>
  <c r="Y154" s="1"/>
  <c r="Y114"/>
  <c r="Y108"/>
  <c r="Y119"/>
  <c r="Y156" s="1"/>
  <c r="AC4" i="40"/>
  <c r="W128" i="8"/>
  <c r="W135"/>
  <c r="W122"/>
  <c r="W114"/>
  <c r="W118"/>
  <c r="W127"/>
  <c r="W134"/>
  <c r="W119"/>
  <c r="W131"/>
  <c r="W115"/>
  <c r="W121"/>
  <c r="W137"/>
  <c r="W110"/>
  <c r="W109"/>
  <c r="W111"/>
  <c r="W132"/>
  <c r="W123"/>
  <c r="W136"/>
  <c r="W173" s="1"/>
  <c r="W98"/>
  <c r="W100" s="1"/>
  <c r="W120"/>
  <c r="W157" s="1"/>
  <c r="W116"/>
  <c r="W153" s="1"/>
  <c r="W133"/>
  <c r="W124"/>
  <c r="W112"/>
  <c r="W113"/>
  <c r="W129"/>
  <c r="W126"/>
  <c r="W130"/>
  <c r="W125"/>
  <c r="W108"/>
  <c r="W145" s="1"/>
  <c r="W117"/>
  <c r="V139"/>
  <c r="V174"/>
  <c r="V155"/>
  <c r="V171"/>
  <c r="V149"/>
  <c r="V172"/>
  <c r="V163"/>
  <c r="V168"/>
  <c r="V173"/>
  <c r="V164"/>
  <c r="V146"/>
  <c r="X82"/>
  <c r="X74"/>
  <c r="AA74" s="1"/>
  <c r="AA58"/>
  <c r="V158"/>
  <c r="Y148"/>
  <c r="V162"/>
  <c r="V152"/>
  <c r="V160"/>
  <c r="V167"/>
  <c r="Y169"/>
  <c r="Y171" l="1"/>
  <c r="Y150"/>
  <c r="W167"/>
  <c r="Y146"/>
  <c r="W147"/>
  <c r="W165"/>
  <c r="Y161"/>
  <c r="Y158"/>
  <c r="Y172"/>
  <c r="Y149"/>
  <c r="W169"/>
  <c r="Y159"/>
  <c r="W151"/>
  <c r="Y151"/>
  <c r="Y147"/>
  <c r="W149"/>
  <c r="W162"/>
  <c r="W160"/>
  <c r="W155"/>
  <c r="Y166"/>
  <c r="Y163"/>
  <c r="Y173"/>
  <c r="Y167"/>
  <c r="Y170"/>
  <c r="V176"/>
  <c r="V177" s="1"/>
  <c r="Y145"/>
  <c r="Y155"/>
  <c r="Y160"/>
  <c r="AD14" i="40"/>
  <c r="AA92" i="8"/>
  <c r="Y152"/>
  <c r="Y157"/>
  <c r="Y162"/>
  <c r="W174"/>
  <c r="W139"/>
  <c r="AD4" i="40"/>
  <c r="X112" i="8"/>
  <c r="X109"/>
  <c r="X123"/>
  <c r="X136"/>
  <c r="X124"/>
  <c r="X111"/>
  <c r="X108"/>
  <c r="X145" s="1"/>
  <c r="X122"/>
  <c r="X117"/>
  <c r="X127"/>
  <c r="X113"/>
  <c r="X120"/>
  <c r="X130"/>
  <c r="X121"/>
  <c r="X119"/>
  <c r="X129"/>
  <c r="X98"/>
  <c r="X125"/>
  <c r="X131"/>
  <c r="X132"/>
  <c r="X126"/>
  <c r="X133"/>
  <c r="X137"/>
  <c r="X128"/>
  <c r="X118"/>
  <c r="X155" s="1"/>
  <c r="X134"/>
  <c r="X171" s="1"/>
  <c r="X114"/>
  <c r="X151" s="1"/>
  <c r="X116"/>
  <c r="X115"/>
  <c r="X110"/>
  <c r="X147" s="1"/>
  <c r="X135"/>
  <c r="AA82"/>
  <c r="W156"/>
  <c r="W150"/>
  <c r="W168"/>
  <c r="W166"/>
  <c r="W170"/>
  <c r="W146"/>
  <c r="W152"/>
  <c r="W164"/>
  <c r="W172"/>
  <c r="W154"/>
  <c r="W163"/>
  <c r="W161"/>
  <c r="W148"/>
  <c r="W158"/>
  <c r="W171"/>
  <c r="W159"/>
  <c r="X170" l="1"/>
  <c r="X158"/>
  <c r="X146"/>
  <c r="Y176"/>
  <c r="X160"/>
  <c r="X167"/>
  <c r="W176"/>
  <c r="W177" s="1"/>
  <c r="X152"/>
  <c r="X163"/>
  <c r="X154"/>
  <c r="X161"/>
  <c r="X149"/>
  <c r="C10"/>
  <c r="X100"/>
  <c r="AA98"/>
  <c r="X139"/>
  <c r="X174"/>
  <c r="AA100"/>
  <c r="B98"/>
  <c r="X162"/>
  <c r="X164"/>
  <c r="X148"/>
  <c r="X172"/>
  <c r="X168"/>
  <c r="X156"/>
  <c r="X150"/>
  <c r="X153"/>
  <c r="X165"/>
  <c r="X169"/>
  <c r="X166"/>
  <c r="X157"/>
  <c r="X159"/>
  <c r="X173"/>
  <c r="X176" l="1"/>
  <c r="X177"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5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4.xml><?xml version="1.0" encoding="utf-8"?>
<comments xmlns="http://schemas.openxmlformats.org/spreadsheetml/2006/main">
  <authors>
    <author>Tina Jayaweera</author>
    <author>Tom Eckman</author>
  </authors>
  <commentList>
    <comment ref="C15" authorId="0">
      <text>
        <r>
          <rPr>
            <b/>
            <sz val="9"/>
            <color indexed="81"/>
            <rFont val="Tahoma"/>
            <family val="2"/>
          </rPr>
          <t>Tina Jayaweera:</t>
        </r>
        <r>
          <rPr>
            <sz val="9"/>
            <color indexed="81"/>
            <rFont val="Tahoma"/>
            <family val="2"/>
          </rPr>
          <t xml:space="preserve">
160 acres/pivot</t>
        </r>
      </text>
    </comment>
    <comment ref="C16" authorId="0">
      <text>
        <r>
          <rPr>
            <b/>
            <sz val="9"/>
            <color indexed="81"/>
            <rFont val="Tahoma"/>
            <family val="2"/>
          </rPr>
          <t>Tina Jayaweera:</t>
        </r>
        <r>
          <rPr>
            <sz val="9"/>
            <color indexed="81"/>
            <rFont val="Tahoma"/>
            <family val="2"/>
          </rPr>
          <t xml:space="preserve">
160 acres/pivot</t>
        </r>
      </text>
    </comment>
    <comment ref="C19" authorId="0">
      <text>
        <r>
          <rPr>
            <b/>
            <sz val="9"/>
            <color indexed="81"/>
            <rFont val="Tahoma"/>
            <family val="2"/>
          </rPr>
          <t>Tina Jayaweera:</t>
        </r>
        <r>
          <rPr>
            <sz val="9"/>
            <color indexed="81"/>
            <rFont val="Tahoma"/>
            <family val="2"/>
          </rPr>
          <t xml:space="preserve">
160 acres/pivot</t>
        </r>
      </text>
    </comment>
    <comment ref="C20" authorId="0">
      <text>
        <r>
          <rPr>
            <b/>
            <sz val="9"/>
            <color indexed="81"/>
            <rFont val="Tahoma"/>
            <family val="2"/>
          </rPr>
          <t>Tina Jayaweera:</t>
        </r>
        <r>
          <rPr>
            <sz val="9"/>
            <color indexed="81"/>
            <rFont val="Tahoma"/>
            <family val="2"/>
          </rPr>
          <t xml:space="preserve">
160 acres/pivot</t>
        </r>
      </text>
    </comment>
    <comment ref="J26" authorId="1">
      <text>
        <r>
          <rPr>
            <b/>
            <sz val="10"/>
            <color indexed="81"/>
            <rFont val="Tahoma"/>
            <family val="2"/>
          </rPr>
          <t>Tom Eckman:</t>
        </r>
        <r>
          <rPr>
            <sz val="6"/>
            <color indexed="81"/>
            <rFont val="Tahoma"/>
            <family val="2"/>
          </rPr>
          <t xml:space="preserve">
</t>
        </r>
        <r>
          <rPr>
            <b/>
            <sz val="10"/>
            <color indexed="81"/>
            <rFont val="Tahoma"/>
            <family val="2"/>
          </rPr>
          <t>TDH is estimated by adding total piping lift, including elevation change, friction losses and pressure at the pump. Since pressure is usally measured in pounds per square inch (PSI), convert PSI to feet by multiplying PSI * 2.31 (1 PSI = 2.31 feet of head)</t>
        </r>
      </text>
    </comment>
    <comment ref="K26" authorId="1">
      <text>
        <r>
          <rPr>
            <b/>
            <sz val="10"/>
            <color indexed="81"/>
            <rFont val="Tahoma"/>
            <family val="2"/>
          </rPr>
          <t xml:space="preserve">Tom Eckman: Water horsepower (WHP) is the amount of work done on the water. It is calculated by
WHP = TDH * GPM/3960 
Where:
GPM = discharge rate in gallons per minute
TDH = total dynamic head (in feet).
</t>
        </r>
        <r>
          <rPr>
            <sz val="6"/>
            <color indexed="81"/>
            <rFont val="Tahoma"/>
            <family val="2"/>
          </rPr>
          <t xml:space="preserve">
</t>
        </r>
      </text>
    </comment>
    <comment ref="R26" authorId="1">
      <text>
        <r>
          <rPr>
            <b/>
            <sz val="10"/>
            <color indexed="81"/>
            <rFont val="Tahoma"/>
            <family val="2"/>
          </rPr>
          <t>Tom Eckman:
 Hours of Pumping (HRs) = D X AC/GPM/452.6
Where:
D = Depth of applied irrigation water (inches)
AC = Acres irrigated
GPM = Discharge rate in gallons/minute
452.6 = Constant to convert gallons per minute into acre-inches/hour</t>
        </r>
        <r>
          <rPr>
            <sz val="6"/>
            <color indexed="81"/>
            <rFont val="Tahoma"/>
            <family val="2"/>
          </rPr>
          <t xml:space="preserve">
</t>
        </r>
      </text>
    </comment>
    <comment ref="S26" authorId="1">
      <text>
        <r>
          <rPr>
            <b/>
            <sz val="10"/>
            <color indexed="81"/>
            <rFont val="Tahoma"/>
            <family val="2"/>
          </rPr>
          <t xml:space="preserve">Tom Eckman:
BHP = WHP/E
Where: 
BHP = Brake horsepower
WHP = Water horsepower
E= Pump Efficiency
</t>
        </r>
        <r>
          <rPr>
            <sz val="6"/>
            <color indexed="81"/>
            <rFont val="Tahoma"/>
            <family val="2"/>
          </rPr>
          <t xml:space="preserve">
</t>
        </r>
      </text>
    </comment>
    <comment ref="H46" authorId="1">
      <text>
        <r>
          <rPr>
            <b/>
            <sz val="12"/>
            <color indexed="81"/>
            <rFont val="Tahoma"/>
            <family val="2"/>
          </rPr>
          <t>Tom Eckman: For set systems only. Add mainline friction from point at which lateral system pressure is tested to critical mainline condition. This may be plus or minus depending location along the mainline.</t>
        </r>
        <r>
          <rPr>
            <sz val="8"/>
            <color indexed="81"/>
            <rFont val="Tahoma"/>
            <family val="2"/>
          </rPr>
          <t xml:space="preserve">
</t>
        </r>
      </text>
    </comment>
    <comment ref="J46" authorId="1">
      <text>
        <r>
          <rPr>
            <b/>
            <sz val="10"/>
            <color indexed="81"/>
            <rFont val="Tahoma"/>
            <family val="2"/>
          </rPr>
          <t>Tom Eckman:</t>
        </r>
        <r>
          <rPr>
            <sz val="6"/>
            <color indexed="81"/>
            <rFont val="Tahoma"/>
            <family val="2"/>
          </rPr>
          <t xml:space="preserve">
</t>
        </r>
        <r>
          <rPr>
            <b/>
            <sz val="10"/>
            <color indexed="81"/>
            <rFont val="Tahoma"/>
            <family val="2"/>
          </rPr>
          <t>TDH is estimated by adding total piping lift, including elevation change, friction losses and pressure at the pump. Since pressure is usally measured in pounds per square inch (PSI), convert PSI to feet by multiplying PSI * 2.31 (1 PSI = 2.31 feet of head)</t>
        </r>
      </text>
    </comment>
    <comment ref="K46" authorId="1">
      <text>
        <r>
          <rPr>
            <b/>
            <sz val="10"/>
            <color indexed="81"/>
            <rFont val="Tahoma"/>
            <family val="2"/>
          </rPr>
          <t xml:space="preserve">Tom Eckman: Water horsepower (WHP) is the amount of work done on the water. It is calculated by
WHP = TDH * GPM/3960 
Where:
GPM = discharge rate in gallons per minute
TDH = total dynamic head (in feet).
</t>
        </r>
        <r>
          <rPr>
            <sz val="6"/>
            <color indexed="81"/>
            <rFont val="Tahoma"/>
            <family val="2"/>
          </rPr>
          <t xml:space="preserve">
</t>
        </r>
      </text>
    </comment>
    <comment ref="R46" authorId="1">
      <text>
        <r>
          <rPr>
            <b/>
            <sz val="10"/>
            <color indexed="81"/>
            <rFont val="Tahoma"/>
            <family val="2"/>
          </rPr>
          <t>Tom Eckman:
 Hours of Pumping (HRs) = D X AC/GPM/452.6
Where:
D = Depth of applied irrigation water (inches)
AC = Acres irrigated
GPM = Discharge rate in gallons/minute
452.6 = Constant to convert gallons per minute into acre-inches/hour</t>
        </r>
        <r>
          <rPr>
            <sz val="6"/>
            <color indexed="81"/>
            <rFont val="Tahoma"/>
            <family val="2"/>
          </rPr>
          <t xml:space="preserve">
</t>
        </r>
      </text>
    </comment>
    <comment ref="S46" authorId="1">
      <text>
        <r>
          <rPr>
            <b/>
            <sz val="10"/>
            <color indexed="81"/>
            <rFont val="Tahoma"/>
            <family val="2"/>
          </rPr>
          <t xml:space="preserve">Tom Eckman:
BHP = WHP/E
Where: 
BHP = Brake horsepower
WHP = Water horsepower
E= Pump Efficiency
</t>
        </r>
        <r>
          <rPr>
            <sz val="6"/>
            <color indexed="81"/>
            <rFont val="Tahoma"/>
            <family val="2"/>
          </rPr>
          <t xml:space="preserve">
</t>
        </r>
      </text>
    </comment>
  </commentList>
</comments>
</file>

<file path=xl/sharedStrings.xml><?xml version="1.0" encoding="utf-8"?>
<sst xmlns="http://schemas.openxmlformats.org/spreadsheetml/2006/main" count="1788" uniqueCount="690">
  <si>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</si>
  <si>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</si>
  <si>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</si>
  <si>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</si>
  <si>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</si>
  <si>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</si>
  <si>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</si>
  <si>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</si>
  <si>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</si>
  <si>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</si>
  <si>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</si>
  <si>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</si>
  <si>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</si>
  <si>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</si>
  <si>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</si>
  <si>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</si>
  <si>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</si>
  <si>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</si>
  <si>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</si>
  <si>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</si>
  <si>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</si>
  <si>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</si>
  <si>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</si>
  <si>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</si>
  <si>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</si>
  <si>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</si>
  <si>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</si>
  <si>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</si>
  <si>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</si>
  <si>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</si>
  <si>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</si>
  <si>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</si>
  <si>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</si>
  <si>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</si>
  <si>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</si>
  <si>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</si>
  <si>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</si>
  <si>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</si>
  <si>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</si>
  <si>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</si>
  <si>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</si>
  <si>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</si>
  <si>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</si>
  <si>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</si>
  <si>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</si>
  <si>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</si>
  <si>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</si>
  <si>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</si>
  <si>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</si>
  <si>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</si>
  <si>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</si>
  <si>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</si>
  <si>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</si>
  <si>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</si>
  <si>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</si>
  <si>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</si>
  <si>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</si>
  <si>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</si>
  <si>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</si>
  <si>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</si>
  <si>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</si>
  <si>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</si>
  <si>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</si>
  <si>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</si>
  <si>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</si>
  <si>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</si>
  <si>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</si>
  <si>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</si>
  <si>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</si>
  <si>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</si>
  <si>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</si>
  <si>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</si>
  <si>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</si>
  <si>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</si>
  <si>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</si>
  <si>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</si>
  <si>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</si>
  <si>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</si>
  <si>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</si>
  <si>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</si>
  <si>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</si>
  <si>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</si>
  <si>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</si>
  <si>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</si>
  <si>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</si>
  <si>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</si>
  <si>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</si>
  <si>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</si>
  <si>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</si>
  <si>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</si>
  <si>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</si>
  <si>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</si>
  <si>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</si>
  <si>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</si>
  <si>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</si>
  <si>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</si>
  <si>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</si>
  <si>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</si>
  <si>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</si>
  <si>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</si>
  <si>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</si>
  <si>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</si>
  <si>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</si>
  <si>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</si>
  <si>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</si>
  <si>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</si>
  <si>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</si>
  <si>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Region</t>
  </si>
  <si>
    <t>Showerhead Retrofit with 2.0 GPM or lower showerheads</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</si>
  <si>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</si>
  <si>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</si>
  <si>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</si>
  <si>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</si>
  <si>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</si>
  <si>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</si>
  <si>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</si>
  <si>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</si>
  <si>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</si>
  <si>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</si>
  <si>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</si>
  <si>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</si>
  <si>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</si>
  <si>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</si>
  <si>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</si>
  <si>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</si>
  <si>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</si>
  <si>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</si>
  <si>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</si>
  <si>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</si>
  <si>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Total</t>
  </si>
  <si>
    <t>Montana</t>
  </si>
  <si>
    <t>Center Pivot</t>
  </si>
  <si>
    <t>All</t>
  </si>
  <si>
    <t>Number</t>
  </si>
  <si>
    <t>Idaho</t>
  </si>
  <si>
    <t>Oregon</t>
  </si>
  <si>
    <t>Washington</t>
  </si>
  <si>
    <t>Pivot</t>
  </si>
  <si>
    <t>='[7P Forecasts D2.xlsx]Ag Forecast (Base Case)'!$BD$20</t>
  </si>
  <si>
    <t>Irrigation</t>
  </si>
  <si>
    <t># acres</t>
  </si>
  <si>
    <t>REG_TOTAL_STOCK_# ACRES</t>
  </si>
  <si>
    <t>Alfalfa Wheel Line</t>
  </si>
  <si>
    <t>Alfalfa Hand Line</t>
  </si>
  <si>
    <t>CenterPivot High P</t>
  </si>
  <si>
    <t>CenterPivot Med P</t>
  </si>
  <si>
    <t>Convert Medium Pressure Center Pivot to Low pressure system</t>
  </si>
  <si>
    <t>Convert High Pressure Center Pivot to Low pressure system</t>
  </si>
  <si>
    <t>Convert wheel line systems to low pressure systems on alfalfa acreage</t>
  </si>
  <si>
    <t>Convert hand line systems to low pressure systems on alfalfa acreage</t>
  </si>
  <si>
    <t>state</t>
  </si>
  <si>
    <t>Acres Treated Max</t>
  </si>
  <si>
    <t>State</t>
  </si>
  <si>
    <t>A-Irr-Irr-Irrigation-All-All-E</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</si>
  <si>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</si>
  <si>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</si>
  <si>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</si>
  <si>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</si>
  <si>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</si>
  <si>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</si>
  <si>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</si>
  <si>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</si>
  <si>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</si>
  <si>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</si>
  <si>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</si>
  <si>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</si>
  <si>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</si>
  <si>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</si>
  <si>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</si>
  <si>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</si>
  <si>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</si>
  <si>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</si>
  <si>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</si>
  <si>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</si>
  <si>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</si>
  <si>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</si>
  <si>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</si>
  <si>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</si>
  <si>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</si>
  <si>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</si>
  <si>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</si>
  <si>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</si>
  <si>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</si>
  <si>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</si>
  <si>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</si>
  <si>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</si>
  <si>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</si>
  <si>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</si>
  <si>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</si>
  <si>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</si>
  <si>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</si>
  <si>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</si>
  <si>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</si>
  <si>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</si>
  <si>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</si>
  <si>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</si>
  <si>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</si>
  <si>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</si>
  <si>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</si>
  <si>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</si>
  <si>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</si>
  <si>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</si>
  <si>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</si>
  <si>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</si>
  <si>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</si>
  <si>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</si>
  <si>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</si>
  <si>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</si>
  <si>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</si>
  <si>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</si>
  <si>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</si>
  <si>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</si>
  <si>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</si>
  <si>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</si>
  <si>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</si>
  <si>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</si>
  <si>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</si>
  <si>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</si>
  <si>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</si>
  <si>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</si>
  <si>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</si>
  <si>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</si>
  <si>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</si>
  <si>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</si>
  <si>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</si>
  <si>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</si>
  <si>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</si>
  <si>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</si>
  <si>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</si>
  <si>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</si>
  <si>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</si>
  <si>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</si>
  <si>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</si>
  <si>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</si>
  <si>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</si>
  <si>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</si>
  <si>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</si>
  <si>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</si>
  <si>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</si>
  <si>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</si>
  <si>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</si>
  <si>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</si>
  <si>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</si>
  <si>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</si>
  <si>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</si>
  <si>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</si>
  <si>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</si>
  <si>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</si>
  <si>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</si>
  <si>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</si>
  <si>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</si>
  <si>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</si>
  <si>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</si>
  <si>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</si>
  <si>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</si>
  <si>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</si>
  <si>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</si>
  <si>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</si>
  <si>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</si>
  <si>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</si>
  <si>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</si>
  <si>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</si>
  <si>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</si>
  <si>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</si>
  <si>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</si>
  <si>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</si>
  <si>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</si>
  <si>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</si>
  <si>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</si>
  <si>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</si>
  <si>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</si>
  <si>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</si>
  <si>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</si>
  <si>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</si>
  <si>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</si>
  <si>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</si>
  <si>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</si>
  <si>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</si>
  <si>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</si>
  <si>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</si>
  <si>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</si>
  <si>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</si>
  <si>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</si>
  <si>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</si>
  <si>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</si>
  <si>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</si>
  <si>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</si>
  <si>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</si>
  <si>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</si>
  <si>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</si>
  <si>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</si>
  <si>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</si>
  <si>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</si>
  <si>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</si>
  <si>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</si>
  <si>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</si>
  <si>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</si>
  <si>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</si>
  <si>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</si>
  <si>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</si>
  <si>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</si>
  <si>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</si>
  <si>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</si>
  <si>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</si>
  <si>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</si>
  <si>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</si>
  <si>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</si>
  <si>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</si>
  <si>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</si>
  <si>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</si>
  <si>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</si>
  <si>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</si>
  <si>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</si>
  <si>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</si>
  <si>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</si>
  <si>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</si>
  <si>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</si>
  <si>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</si>
  <si>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</si>
  <si>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</si>
  <si>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</si>
  <si>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</si>
  <si>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</si>
  <si>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</si>
  <si>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</si>
  <si>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</si>
  <si>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</si>
  <si>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</si>
  <si>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</si>
  <si>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</si>
  <si>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</si>
  <si>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</si>
  <si>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</si>
  <si>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</si>
  <si>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</si>
  <si>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</si>
  <si>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</si>
  <si>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</si>
  <si>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</si>
  <si>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</si>
  <si>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</si>
  <si>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</si>
  <si>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</si>
  <si>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</si>
  <si>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</si>
  <si>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</si>
  <si>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</si>
  <si>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</si>
  <si>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</si>
  <si>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</si>
  <si>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</si>
  <si>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</si>
  <si>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</si>
  <si>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</si>
  <si>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</si>
  <si>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</si>
  <si>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Irrigated Agriculture Conservation Options</t>
  </si>
  <si>
    <t>Gallons/cu.ft</t>
  </si>
  <si>
    <t>kW/horsepower</t>
  </si>
  <si>
    <t>Hardware Measure Worksheet</t>
  </si>
  <si>
    <t>Acre(sq.ft.)</t>
  </si>
  <si>
    <t>Gals/ Acre-ft</t>
  </si>
  <si>
    <t>Gals/acre-in</t>
  </si>
  <si>
    <t>Measure Description - Inputs</t>
  </si>
  <si>
    <t>Annual O &amp; M Cost</t>
  </si>
  <si>
    <t>Periodic  O &amp; M Cost</t>
  </si>
  <si>
    <t>Periodic  O &amp; M Schedule</t>
  </si>
  <si>
    <t>Water Diversion Region</t>
  </si>
  <si>
    <t>2000$</t>
  </si>
  <si>
    <t>UpSlm</t>
  </si>
  <si>
    <t>UPSnk</t>
  </si>
  <si>
    <t>WheelLine_OandM</t>
  </si>
  <si>
    <t>HandLine_OandM</t>
  </si>
  <si>
    <t>Nozzle_PeriodicRepl</t>
  </si>
  <si>
    <t>Desch</t>
  </si>
  <si>
    <t>WN</t>
  </si>
  <si>
    <t>Pre-Retrofit System - Inputs</t>
  </si>
  <si>
    <t>c</t>
  </si>
  <si>
    <t>d</t>
  </si>
  <si>
    <t>e</t>
  </si>
  <si>
    <t>f</t>
  </si>
  <si>
    <t>g</t>
  </si>
  <si>
    <t>h</t>
  </si>
  <si>
    <t>I</t>
  </si>
  <si>
    <t>j</t>
  </si>
  <si>
    <t>k</t>
  </si>
  <si>
    <t>l</t>
  </si>
  <si>
    <t>m</t>
  </si>
  <si>
    <t>n</t>
  </si>
  <si>
    <t>o</t>
  </si>
  <si>
    <t>p</t>
  </si>
  <si>
    <t>q</t>
  </si>
  <si>
    <t>r</t>
  </si>
  <si>
    <t>s</t>
  </si>
  <si>
    <t>t</t>
  </si>
  <si>
    <t>u</t>
  </si>
  <si>
    <t>v</t>
  </si>
  <si>
    <t>w</t>
  </si>
  <si>
    <t>x</t>
  </si>
  <si>
    <t>y</t>
  </si>
  <si>
    <t>Base Case Field Size (Acres/pump)</t>
  </si>
  <si>
    <t>Base Case Pumping Lift (ft)</t>
  </si>
  <si>
    <t>Base Case Elevation Change (ft)</t>
  </si>
  <si>
    <t>Base Case Average Discharge Rate (GPM)</t>
  </si>
  <si>
    <t>Base Case Friction Loss (ft)</t>
  </si>
  <si>
    <t>Base Case Mainline Friction Adjustment (ft)</t>
  </si>
  <si>
    <t>Base Case System Pressure (PSI)</t>
  </si>
  <si>
    <t>Base Case Total Dynamic Head (ft)</t>
  </si>
  <si>
    <t>Base Case Water Horsepower (WHP)</t>
  </si>
  <si>
    <t>Base Case Annual Watering Depth (inches)</t>
  </si>
  <si>
    <t>Base Case System Leakage (%)</t>
  </si>
  <si>
    <t>Base Case Annual Water Use w/Leakage (inches)</t>
  </si>
  <si>
    <t>Base Case Pump Efficiency</t>
  </si>
  <si>
    <t>Base Case Brake Horsepower</t>
  </si>
  <si>
    <t>Base Case Nameplate Horsepower</t>
  </si>
  <si>
    <t>Base Case Hours of Pumping</t>
  </si>
  <si>
    <t>Base Case Hourly Electricity Use (kW)</t>
  </si>
  <si>
    <t>Base Case Annual Electricity Use (kWh)</t>
  </si>
  <si>
    <t>Base Case Water Use (Acre-ft/yr)</t>
  </si>
  <si>
    <t>Base Case Water Use  (Acre-ft/acre/yr)</t>
  </si>
  <si>
    <t>Base Case Annual Electricity Use (kWh/acre-ft/yr)</t>
  </si>
  <si>
    <t>Calibration Value (kWh/acre-ft/yr)</t>
  </si>
  <si>
    <t>Base Case Use (kWh/Acre)</t>
  </si>
  <si>
    <t>Post-Retrofit System - Inputs</t>
  </si>
  <si>
    <t>Post-Retrofit Field Size (Acres)</t>
  </si>
  <si>
    <t>Post-Retrofit Pumping Lift (ft)</t>
  </si>
  <si>
    <t>Post-Retrofit Elevation Change (ft)</t>
  </si>
  <si>
    <t>Post-Retrofit Discharge Rate (GPM)</t>
  </si>
  <si>
    <t>Post-Retrofit Friction Loss (ft)</t>
  </si>
  <si>
    <t>Post-Retrofit Mainline Friction Adjustment (ft)</t>
  </si>
  <si>
    <t>Post-Retrofit System Pressure (PSI)</t>
  </si>
  <si>
    <t>Post-Retrofit Total Dynamic Head (ft)</t>
  </si>
  <si>
    <t>Post-Retorfit Water Horsepower (WHP)</t>
  </si>
  <si>
    <t>Post-Water Management Annual Watering Depth (inches)</t>
  </si>
  <si>
    <t>Retrofit Case System Leakage (%)</t>
  </si>
  <si>
    <t>Post-Retrofit Case Annual Water Use w/Leakage (inches)</t>
  </si>
  <si>
    <t>Post-Retrofit Pump Efficiency</t>
  </si>
  <si>
    <t>Post-Retrofit Brake Horsepower</t>
  </si>
  <si>
    <t>Post-Retrofit Nameplate Horsepower</t>
  </si>
  <si>
    <t>Post-Retrofit Hours of Pumping</t>
  </si>
  <si>
    <t>Post-Retrofit Hourly Electricity Use (kW)</t>
  </si>
  <si>
    <t>Post-Retrofit Annual Electricity Use (kWh)</t>
  </si>
  <si>
    <t>Post-Water Management Annual Water Use (Acre-ft/yr)</t>
  </si>
  <si>
    <t>Post-Water Management Water Use (Acre-ft/acre/yr)</t>
  </si>
  <si>
    <t>Post-Retrofit Annual Electricity Use (kWh/acre-ft/yr)</t>
  </si>
  <si>
    <t>Calibration Value</t>
  </si>
  <si>
    <t>Annual Energy and Water Savings Outputs</t>
  </si>
  <si>
    <t>Annual On Site Electricity Savings (kWh)</t>
  </si>
  <si>
    <t>Annual Energy Savings due to Reduced Water Diversion (kWh)</t>
  </si>
  <si>
    <t>Total Electricity Savings (kWh)</t>
  </si>
  <si>
    <t>Total Electricity Savings (kWh/acre)</t>
  </si>
  <si>
    <t>Annual Water Savings (Acre-ft)</t>
  </si>
  <si>
    <t>Annual On-Site Electricity Savings (kWh/acre-ft)</t>
  </si>
  <si>
    <t>Annual Water Savings (Acre-ft/acre)</t>
  </si>
  <si>
    <t>Annual On-Site Energy Savings (%)</t>
  </si>
  <si>
    <t>Annual Water Savings (%)</t>
  </si>
  <si>
    <t>Total Cost/acre</t>
  </si>
  <si>
    <t>Convert Medium Pressure Center Pivot to Low pressure system - Washington</t>
  </si>
  <si>
    <t>Convert Medium Pressure Center Pivot to Low pressure system - Idaho</t>
  </si>
  <si>
    <t>Convert Medium Pressure Center Pivot to Low pressure system - Oregon</t>
  </si>
  <si>
    <t>Convert High Pressure Center Pivot to Low pressure system - Idaho</t>
  </si>
  <si>
    <t>Convert High Pressure Center Pivot to Low pressure system - Washington</t>
  </si>
  <si>
    <t>Convert Medium Pressure Center Pivot to Low pressure system - Montana</t>
  </si>
  <si>
    <t>Convert High Pressure Center Pivot to Low pressure system - Oregon</t>
  </si>
  <si>
    <t>Convert High Pressure Center Pivot to Low pressure system - Montana</t>
  </si>
  <si>
    <t>Convert hand line systems to low pressure systems on alfalfa acreage - Washington</t>
  </si>
  <si>
    <t>Convert hand line systems to low pressure systems on alfalfa acreage - Oregon</t>
  </si>
  <si>
    <t>Convert wheel line systems to low pressure systems on alfalfa acreage - Washington</t>
  </si>
  <si>
    <t>Convert hand line systems to low pressure systems on alfalfa acreage - Idaho</t>
  </si>
  <si>
    <t>Convert wheel line systems to low pressure systems on alfalfa acreage - Oregon</t>
  </si>
  <si>
    <t>Convert hand line systems to low pressure systems on alfalfa acreage - Montana</t>
  </si>
  <si>
    <t>Convert wheel line systems to low pressure systems on alfalfa acreage - Idaho</t>
  </si>
  <si>
    <t>Convert wheel line systems to low pressure systems on alfalfa acreage - Montana</t>
  </si>
  <si>
    <t>2000-&gt;2012 GDP Deflator</t>
  </si>
  <si>
    <t>2012$</t>
  </si>
  <si>
    <t>Energy &amp; Water Use Data for Estimating Savings from Irrigation Scheduling and Hardware Retrofits</t>
  </si>
  <si>
    <t>Data and Assumptions</t>
  </si>
  <si>
    <t>Farms</t>
  </si>
  <si>
    <t>Pumps Powered</t>
  </si>
  <si>
    <t>Total Irrigated Acres</t>
  </si>
  <si>
    <t>Average Acres Irrigated per Farm</t>
  </si>
  <si>
    <t>Average Acres Irrigated per Pump</t>
  </si>
  <si>
    <t>Average Electricity Cost/Farm</t>
  </si>
  <si>
    <t>Average. Electricity Costs ($/acre/yr)</t>
  </si>
  <si>
    <t>Average. Electricity Costs ($/pump/yr)</t>
  </si>
  <si>
    <t>Average Acre Ft/Acre</t>
  </si>
  <si>
    <t>Annual Electricity Use (kWh/acre/yr)</t>
  </si>
  <si>
    <t>Average Use (kWh/Acre.- Ft.</t>
  </si>
  <si>
    <t>Estimate Annual Irrigation Use (aMW)</t>
  </si>
  <si>
    <t>Irrigation Electrcity Use  - 2013</t>
  </si>
  <si>
    <t>Pumped Wells</t>
  </si>
  <si>
    <t>Average well depth (ft)</t>
  </si>
  <si>
    <t>Average depth to water (ft)</t>
  </si>
  <si>
    <t>Average pumping depth (ft)</t>
  </si>
  <si>
    <t>Average pumping capacity (GPM)</t>
  </si>
  <si>
    <t>Average operating pressure (psi)</t>
  </si>
  <si>
    <t>Average HP</t>
  </si>
  <si>
    <t>Average hours of operation</t>
  </si>
  <si>
    <t>Share of Wells</t>
  </si>
  <si>
    <t>Capital Cost (2012$)</t>
  </si>
  <si>
    <t>No change from Raw</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</si>
  <si>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</si>
  <si>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</si>
  <si>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</si>
  <si>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</si>
  <si>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</si>
  <si>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</si>
  <si>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</si>
  <si>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</si>
  <si>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</si>
  <si>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</si>
  <si>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</si>
  <si>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</si>
  <si>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</si>
  <si>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</si>
  <si>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</si>
  <si>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</si>
  <si>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</si>
  <si>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</si>
  <si>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</si>
  <si>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</si>
  <si>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</si>
  <si>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</si>
  <si>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</si>
  <si>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</si>
  <si>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</si>
  <si>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</si>
  <si>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</si>
  <si>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</si>
  <si>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</si>
  <si>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</si>
  <si>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</si>
  <si>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savingsYear</t>
  </si>
  <si>
    <t>BPA Sector</t>
  </si>
  <si>
    <t>BPA EndUse</t>
  </si>
  <si>
    <t>BPA Category</t>
  </si>
  <si>
    <t>BPA TAP</t>
  </si>
  <si>
    <t>SumOfkWhBusbar</t>
  </si>
  <si>
    <t>SumOfaMWBusbar</t>
  </si>
  <si>
    <t>Agricultural</t>
  </si>
  <si>
    <t>Discharge Fitting Equipment</t>
  </si>
  <si>
    <t>Nozzle Replacement</t>
  </si>
  <si>
    <t>Unknown</t>
  </si>
  <si>
    <t>Hardware</t>
  </si>
  <si>
    <t>Drain Replacement</t>
  </si>
  <si>
    <t>Drop Tube/Hose Extension</t>
  </si>
  <si>
    <t>Gasket Replacement</t>
  </si>
  <si>
    <t>Goose Necks</t>
  </si>
  <si>
    <t>Hub Replacement</t>
  </si>
  <si>
    <t>Leveler Rebuild</t>
  </si>
  <si>
    <t>Multi-Trajectory Sprays</t>
  </si>
  <si>
    <t>Pipe Repair</t>
  </si>
  <si>
    <t>Regulator Replacement</t>
  </si>
  <si>
    <t>Sprinkler Replacements</t>
  </si>
  <si>
    <t>Irrigation System Improvements</t>
  </si>
  <si>
    <t>Mainline System and Equipment</t>
  </si>
  <si>
    <t>Mainline System Pump Improvements</t>
  </si>
  <si>
    <t>Pumps and Fans</t>
  </si>
  <si>
    <t>Vacuum Pump System Improvements</t>
  </si>
  <si>
    <t>Center Pivot System and Equipment</t>
  </si>
  <si>
    <t>Pump Testing Service</t>
  </si>
  <si>
    <t>Project Name</t>
  </si>
  <si>
    <t>Baseline kWh</t>
  </si>
  <si>
    <t>Actual Cost</t>
  </si>
  <si>
    <t>Irrigation System Upgrades</t>
  </si>
  <si>
    <t>Drip Irrigation System Upgrade</t>
  </si>
  <si>
    <t>Pod Irrigation System Upgrade</t>
  </si>
  <si>
    <t>Drip System Upgrade</t>
  </si>
  <si>
    <t>Irrigation System Upgrades - Drip</t>
  </si>
  <si>
    <t>Drip</t>
  </si>
  <si>
    <t>K-Line Irrigation System - Liebelt Place</t>
  </si>
  <si>
    <t>Drip Irrigation System Upgrade - Blocks 21-22</t>
  </si>
  <si>
    <t>K-Line</t>
  </si>
  <si>
    <t>Big gun/traveler-to-drip system upgrade</t>
  </si>
  <si>
    <t>Drip Irrigation (Phase 3)</t>
  </si>
  <si>
    <t>Irrigation Changeout -- Drip Irrigation System</t>
  </si>
  <si>
    <t>Irrigation System Upgrades 14 acre</t>
  </si>
  <si>
    <t>Drip Irrigation</t>
  </si>
  <si>
    <t>Drip Irrigation System Upgrade II</t>
  </si>
  <si>
    <t>Irrigation pump replacement</t>
  </si>
  <si>
    <t>16-Acre Drip Irrigation System Upgrade</t>
  </si>
  <si>
    <t>K-Line Irrigation System Upgrade and Pump Replacement</t>
  </si>
  <si>
    <t>Drip Irrigation System Upgrade, Phase II</t>
  </si>
  <si>
    <t>Drip Irrigation System Upgrade - Blocks 40-41</t>
  </si>
  <si>
    <t>Drip Irrigation System Upgrade - Block 14</t>
  </si>
  <si>
    <t>Pivot Irrigation System Upgrade with Gravity Pressure</t>
  </si>
  <si>
    <t>Linear Irrigation System Upgrade and 50hp Pump VFD</t>
  </si>
  <si>
    <t>Low flow sprinklers + 40hp Irrigation Pump Replacement</t>
  </si>
  <si>
    <t>(2) Pivot Irrigation System Upgrade</t>
  </si>
  <si>
    <t>Irrigation System Upgrades 22 acre</t>
  </si>
  <si>
    <t>Pivot Irrigation System Upgrade</t>
  </si>
  <si>
    <t>Drip Irrigation System Upgrade, Pump Replacement, and 7.5hp Pump VFD</t>
  </si>
  <si>
    <t>Linear Irrigation System Upgrade</t>
  </si>
  <si>
    <t>White Field Linear</t>
  </si>
  <si>
    <t>Pivot Upgrade</t>
  </si>
  <si>
    <t>Linear Irrigation System Upgrade and 60hp Irrigation Pump VFD</t>
  </si>
  <si>
    <t>Linear Upgrade</t>
  </si>
  <si>
    <t>Upgrade from Hand Line to Drip Irrigation System and VFD</t>
  </si>
  <si>
    <t>Linear Irrigation System Upgrade and Pump Replacement II</t>
  </si>
  <si>
    <t>Pump &amp; Sprinkler Package</t>
  </si>
  <si>
    <t>Linear Irrigation System Upgrade and 50hp irrigation Pump VFD</t>
  </si>
  <si>
    <t>New Linear System</t>
  </si>
  <si>
    <t>Irrigation Linear with VFD</t>
  </si>
  <si>
    <t>Linear Irrigation System Upgrade and Pump Consolidation</t>
  </si>
  <si>
    <t>Drip Irrigation System Upgrade and Pump Replacement with VFD</t>
  </si>
  <si>
    <t>Drip Upgrade &amp; 40 hp Pump VFD</t>
  </si>
  <si>
    <t>Hartman Linear Upgrade</t>
  </si>
  <si>
    <t>86th Drip Upgrade with New Pump and VFD</t>
  </si>
  <si>
    <t>Pivot Irrigation System Upgrade and Pump Replacement</t>
  </si>
  <si>
    <t>75hp Irrigation Pump VFD</t>
  </si>
  <si>
    <t>Linear Irrigation System Upgrade and Pump VFD</t>
  </si>
  <si>
    <t>Irrigation System Upgrades, Linear</t>
  </si>
  <si>
    <t>Gilbert Linear Upgrade</t>
  </si>
  <si>
    <t>Upgrade from Handlines to Pivot</t>
  </si>
  <si>
    <t>Linear irrigation system upgrade</t>
  </si>
  <si>
    <t>Homeplace Linear</t>
  </si>
  <si>
    <t>Drip Upgrade</t>
  </si>
  <si>
    <t>Wheel Line and Hand Line to Pivot Upgrade and 75hp to 50 hp Pump Replacement</t>
  </si>
  <si>
    <t>Pump replacement and irrigation sys. Upgrade</t>
  </si>
  <si>
    <t>K-Line Irrigation System - Barzee Place</t>
  </si>
  <si>
    <t>Irrigation Linear</t>
  </si>
  <si>
    <t>Linear upgrade and pump replacement</t>
  </si>
  <si>
    <t>Linear Irrigation System Upgrade and Pump Replacement</t>
  </si>
  <si>
    <t>Linear Irrigation System Upgrade with New Pump</t>
  </si>
  <si>
    <t>Drip Irrigaton system Upgrade</t>
  </si>
  <si>
    <t>Drip Irrigation System Upgrade and 60hp Pump VFD</t>
  </si>
  <si>
    <t>K-line w/ PVC Mainline</t>
  </si>
  <si>
    <t>Pump Replacement &amp; System Upgrade</t>
  </si>
  <si>
    <t>Linear Irrigation System Upgrades</t>
  </si>
  <si>
    <t>Linear Irrigation System and Pump VFD Upgrade</t>
  </si>
  <si>
    <t>Linear Upgrade and pump replacement</t>
  </si>
  <si>
    <t>Power Line Burial and Mainline Extension for Linear to Replace Traveler</t>
  </si>
  <si>
    <t>Wheel line and handline to center pivot upgrade and 75hp pump VFD</t>
  </si>
  <si>
    <t>Linear</t>
  </si>
  <si>
    <t>Linear Irrigation Systems Upgrade and Pump Consolidation</t>
  </si>
  <si>
    <t>Additional Wheel Line for (2) Pump</t>
  </si>
  <si>
    <t>Multiple Irrigation Pump Consolidation and Replacement</t>
  </si>
  <si>
    <t>Multiple Pivot Irrigation System Upgrade</t>
  </si>
  <si>
    <t>Linear Irrigation System Upgrade, Pump Consolidation, and 75hp Pump VFD</t>
  </si>
  <si>
    <t>New Pivot, Retrofit 2 Wheel Lines</t>
  </si>
  <si>
    <t xml:space="preserve">ETO Project Data </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</si>
  <si>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</si>
  <si>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</si>
  <si>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</si>
  <si>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</si>
  <si>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</si>
  <si>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</si>
  <si>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Methods &amp; Sources</t>
  </si>
  <si>
    <t>Note</t>
  </si>
  <si>
    <t>7P Updates</t>
  </si>
  <si>
    <t>Irrigation - Convert to Low Pressure</t>
  </si>
  <si>
    <t>Same approach as 6P</t>
  </si>
  <si>
    <t>Savings based on assumptions on well depth and pumping energy needed</t>
  </si>
  <si>
    <t>from 2013 Farm &amp; Ranch Irrigation Survey</t>
  </si>
  <si>
    <t>use more recent FRIS</t>
  </si>
  <si>
    <t>NA</t>
  </si>
  <si>
    <t>Converting center pivot High (60psi+) and Med (30-59psi) pressure systems to Low P (&lt;30psi), and Wheel/hand line for Alfalfa acres</t>
  </si>
  <si>
    <t>Based on High &amp; Med P irrigated acres by state</t>
  </si>
  <si>
    <t>by state</t>
  </si>
  <si>
    <t>no new cost data, convert 6P to 2012$</t>
  </si>
  <si>
    <t>10 years</t>
  </si>
  <si>
    <t>estimate</t>
  </si>
  <si>
    <t>generic irrigation from ELCAP</t>
  </si>
  <si>
    <t>Retro Med Haul</t>
  </si>
  <si>
    <t>irrigation programs have long history, though little done on P conversion</t>
  </si>
  <si>
    <t>6P used 5%/year</t>
  </si>
  <si>
    <t>Center Pivot Conversions</t>
  </si>
  <si>
    <t>Drop Installation for Spray Heads and Pressure Regulators</t>
  </si>
  <si>
    <t>Flow Control Nozzles and Diffuser</t>
  </si>
  <si>
    <t>Impact Sprinkler Heads</t>
  </si>
  <si>
    <t>Line Repairs</t>
  </si>
  <si>
    <t>Reduce Friction Loss</t>
  </si>
  <si>
    <t>Reduce System Leakage</t>
  </si>
  <si>
    <t>Centrifugal Pump System Improvements</t>
  </si>
  <si>
    <t>Turbine Pump System Improvements</t>
  </si>
  <si>
    <t>Irrigation Pressure</t>
  </si>
  <si>
    <t>Ramp Rate</t>
  </si>
  <si>
    <t>Resource Type</t>
  </si>
  <si>
    <t>Measure Category</t>
  </si>
  <si>
    <t>Sector</t>
  </si>
  <si>
    <t>End Use</t>
  </si>
  <si>
    <t>kW per unit</t>
  </si>
  <si>
    <t>kWh per unit</t>
  </si>
  <si>
    <t>TRC Net Levelized Cost (Net of All Benefits)</t>
  </si>
  <si>
    <t>segment</t>
  </si>
  <si>
    <t>Agriculture</t>
  </si>
  <si>
    <t>End Use:</t>
  </si>
  <si>
    <t>Friday, 6 March , 2015 at 12:35 PM</t>
  </si>
  <si>
    <t>Total Max Potential (aMW)</t>
  </si>
  <si>
    <t>Stock</t>
  </si>
</sst>
</file>

<file path=xl/styles.xml><?xml version="1.0" encoding="utf-8"?>
<styleSheet xmlns="http://schemas.openxmlformats.org/spreadsheetml/2006/main">
  <numFmts count="22">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
    <numFmt numFmtId="170" formatCode="&quot;$&quot;#,##0.00"/>
    <numFmt numFmtId="171" formatCode="#,##0.0"/>
    <numFmt numFmtId="172" formatCode="mmm\-yyyy"/>
    <numFmt numFmtId="173" formatCode="_(* #,##0_);_(* \(#,##0\);_(* &quot;-&quot;??_);_(@_)"/>
    <numFmt numFmtId="174" formatCode="0.0;[Red]\-0.0"/>
    <numFmt numFmtId="175" formatCode="\ "/>
    <numFmt numFmtId="176" formatCode="_(&quot;$&quot;* #,##0_);_(&quot;$&quot;* \(#,##0\);_(&quot;$&quot;* &quot;-&quot;??_);_(@_)"/>
    <numFmt numFmtId="177" formatCode="_(* #,##0.0_);_(* \(#,##0.0\);_(* &quot;-&quot;??_);_(@_)"/>
    <numFmt numFmtId="178" formatCode="0.000"/>
    <numFmt numFmtId="179" formatCode="#,##0;[Red]\-#,##0"/>
    <numFmt numFmtId="180" formatCode="&quot;$&quot;#,##0.00;\(&quot;$&quot;#,##0.00\)"/>
  </numFmts>
  <fonts count="70">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sz val="10"/>
      <color indexed="10"/>
      <name val="Arial"/>
      <family val="2"/>
    </font>
    <font>
      <b/>
      <sz val="10"/>
      <color indexed="81"/>
      <name val="Tahoma"/>
      <family val="2"/>
    </font>
    <font>
      <sz val="6"/>
      <color indexed="81"/>
      <name val="Tahoma"/>
      <family val="2"/>
    </font>
    <font>
      <b/>
      <sz val="12"/>
      <color indexed="81"/>
      <name val="Tahoma"/>
      <family val="2"/>
    </font>
    <font>
      <sz val="10"/>
      <name val="Arial"/>
      <family val="2"/>
    </font>
    <font>
      <b/>
      <sz val="10"/>
      <color theme="0"/>
      <name val="Calibri"/>
      <family val="2"/>
      <scheme val="minor"/>
    </font>
    <font>
      <sz val="10"/>
      <color theme="1"/>
      <name val="Calibri"/>
      <family val="2"/>
      <scheme val="minor"/>
    </font>
    <font>
      <b/>
      <sz val="9"/>
      <color indexed="81"/>
      <name val="Tahoma"/>
      <family val="2"/>
    </font>
    <font>
      <sz val="9"/>
      <color theme="1"/>
      <name val="Arial"/>
      <family val="2"/>
    </font>
  </fonts>
  <fills count="84">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1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60"/>
        <bgColor indexed="64"/>
      </patternFill>
    </fill>
    <fill>
      <patternFill patternType="solid">
        <fgColor indexed="31"/>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4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indexed="22"/>
        <bgColor indexed="0"/>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7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s>
  <cellStyleXfs count="535">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0" fontId="5" fillId="8" borderId="0" applyNumberFormat="0" applyAlignment="0"/>
    <xf numFmtId="0" fontId="24" fillId="0" borderId="20" applyNumberFormat="0" applyFill="0" applyAlignment="0" applyProtection="0"/>
    <xf numFmtId="0" fontId="24" fillId="0" borderId="20" applyNumberFormat="0" applyFill="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23" fillId="0" borderId="0"/>
    <xf numFmtId="0" fontId="5" fillId="0" borderId="0">
      <alignment readingOrder="1"/>
    </xf>
    <xf numFmtId="0" fontId="5" fillId="0" borderId="0"/>
    <xf numFmtId="0" fontId="23" fillId="16" borderId="14" applyNumberFormat="0" applyFont="0" applyAlignment="0" applyProtection="0"/>
    <xf numFmtId="0" fontId="23"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8"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1" borderId="0" applyNumberFormat="0" applyBorder="0" applyAlignment="0" applyProtection="0"/>
    <xf numFmtId="0" fontId="33" fillId="22" borderId="0" applyNumberFormat="0" applyBorder="0" applyAlignment="0" applyProtection="0"/>
    <xf numFmtId="0" fontId="21" fillId="23" borderId="0" applyNumberFormat="0" applyBorder="0" applyAlignment="0" applyProtection="0"/>
    <xf numFmtId="0" fontId="21" fillId="21" borderId="0" applyNumberFormat="0" applyBorder="0" applyAlignment="0" applyProtection="0"/>
    <xf numFmtId="0" fontId="33" fillId="16"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5" borderId="0" applyNumberFormat="0" applyBorder="0" applyAlignment="0" applyProtection="0"/>
    <xf numFmtId="0" fontId="33" fillId="25"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8" borderId="0" applyNumberFormat="0" applyBorder="0" applyAlignment="0" applyProtection="0"/>
    <xf numFmtId="0" fontId="21" fillId="21" borderId="0" applyNumberFormat="0" applyBorder="0" applyAlignment="0" applyProtection="0"/>
    <xf numFmtId="0" fontId="33" fillId="28"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33" fillId="30" borderId="0" applyNumberFormat="0" applyBorder="0" applyAlignment="0" applyProtection="0"/>
    <xf numFmtId="0" fontId="21" fillId="24"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31"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28" borderId="0" applyNumberFormat="0" applyBorder="0" applyAlignment="0" applyProtection="0"/>
    <xf numFmtId="0" fontId="34" fillId="21"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21"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34" fillId="39"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34" fillId="45" borderId="0" applyNumberFormat="0" applyBorder="0" applyAlignment="0" applyProtection="0"/>
    <xf numFmtId="0" fontId="34" fillId="21" borderId="0" applyNumberFormat="0" applyBorder="0" applyAlignment="0" applyProtection="0"/>
    <xf numFmtId="0" fontId="34"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34" fillId="3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1" borderId="0" applyNumberFormat="0" applyBorder="0" applyAlignment="0" applyProtection="0"/>
    <xf numFmtId="0" fontId="36" fillId="27" borderId="23" applyNumberFormat="0" applyAlignment="0" applyProtection="0"/>
    <xf numFmtId="0" fontId="36" fillId="19" borderId="23" applyNumberFormat="0" applyAlignment="0" applyProtection="0"/>
    <xf numFmtId="0" fontId="36" fillId="19" borderId="23" applyNumberFormat="0" applyAlignment="0" applyProtection="0"/>
    <xf numFmtId="0" fontId="37" fillId="55" borderId="24" applyNumberFormat="0" applyAlignment="0" applyProtection="0"/>
    <xf numFmtId="0" fontId="37" fillId="55" borderId="24" applyNumberFormat="0" applyAlignment="0" applyProtection="0"/>
    <xf numFmtId="41"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2" fillId="0" borderId="25"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44" fillId="0" borderId="27" applyNumberFormat="0" applyFill="0" applyAlignment="0" applyProtection="0"/>
    <xf numFmtId="0" fontId="45" fillId="0" borderId="28" applyNumberFormat="0" applyFill="0" applyAlignment="0" applyProtection="0"/>
    <xf numFmtId="0" fontId="45" fillId="0" borderId="28"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22" borderId="23" applyNumberFormat="0" applyAlignment="0" applyProtection="0"/>
    <xf numFmtId="0" fontId="49" fillId="22" borderId="23" applyNumberFormat="0" applyAlignment="0" applyProtection="0"/>
    <xf numFmtId="0" fontId="50" fillId="0" borderId="29" applyNumberFormat="0" applyFill="0" applyAlignment="0" applyProtection="0"/>
    <xf numFmtId="0" fontId="50" fillId="0" borderId="29" applyNumberFormat="0" applyFill="0" applyAlignment="0" applyProtection="0"/>
    <xf numFmtId="0" fontId="51" fillId="30" borderId="0" applyNumberFormat="0" applyBorder="0" applyAlignment="0" applyProtection="0"/>
    <xf numFmtId="0" fontId="51" fillId="30"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2" fillId="0" borderId="0"/>
    <xf numFmtId="0" fontId="53" fillId="0" borderId="0"/>
    <xf numFmtId="0" fontId="53" fillId="0" borderId="0"/>
    <xf numFmtId="0" fontId="53" fillId="0" borderId="0"/>
    <xf numFmtId="0" fontId="5" fillId="0" borderId="0"/>
    <xf numFmtId="0" fontId="5" fillId="0" borderId="0"/>
    <xf numFmtId="0" fontId="5"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 fillId="0" borderId="0" applyNumberFormat="0" applyFill="0" applyBorder="0" applyAlignment="0" applyProtection="0"/>
    <xf numFmtId="0" fontId="18" fillId="0" borderId="0"/>
    <xf numFmtId="0" fontId="18" fillId="0" borderId="0"/>
    <xf numFmtId="0" fontId="38"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4" fillId="27" borderId="30" applyNumberFormat="0" applyAlignment="0" applyProtection="0"/>
    <xf numFmtId="0" fontId="54" fillId="19" borderId="30" applyNumberFormat="0" applyAlignment="0" applyProtection="0"/>
    <xf numFmtId="0" fontId="54" fillId="19" borderId="3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5" fillId="0" borderId="0" applyNumberFormat="0" applyFill="0" applyBorder="0" applyAlignment="0" applyProtection="0"/>
    <xf numFmtId="0" fontId="56" fillId="0" borderId="0"/>
    <xf numFmtId="0" fontId="57" fillId="0" borderId="0"/>
    <xf numFmtId="172" fontId="5" fillId="0" borderId="0" applyFill="0" applyBorder="0" applyAlignment="0" applyProtection="0">
      <alignment wrapText="1"/>
    </xf>
    <xf numFmtId="0" fontId="55"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31" applyNumberFormat="0" applyFill="0" applyAlignment="0" applyProtection="0"/>
    <xf numFmtId="0" fontId="27" fillId="0" borderId="32" applyNumberFormat="0" applyFill="0" applyAlignment="0" applyProtection="0"/>
    <xf numFmtId="0" fontId="54" fillId="0" borderId="32"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lignment vertical="center"/>
    </xf>
    <xf numFmtId="43" fontId="5" fillId="0" borderId="0" applyFont="0" applyFill="0" applyBorder="0" applyAlignment="0" applyProtection="0"/>
    <xf numFmtId="0" fontId="5" fillId="0" borderId="0"/>
    <xf numFmtId="0" fontId="10" fillId="0" borderId="0"/>
    <xf numFmtId="0" fontId="10" fillId="0" borderId="0"/>
    <xf numFmtId="43" fontId="5" fillId="0" borderId="0" applyFont="0" applyFill="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0" borderId="0" applyNumberFormat="0" applyBorder="0" applyAlignment="0" applyProtection="0"/>
    <xf numFmtId="0" fontId="18" fillId="82" borderId="0" applyNumberFormat="0" applyBorder="0" applyAlignment="0" applyProtection="0"/>
    <xf numFmtId="0" fontId="18" fillId="82" borderId="0" applyNumberFormat="0" applyBorder="0" applyAlignment="0" applyProtection="0"/>
    <xf numFmtId="0" fontId="18" fillId="82" borderId="0" applyNumberFormat="0" applyBorder="0" applyAlignment="0" applyProtection="0"/>
    <xf numFmtId="0" fontId="18" fillId="82" borderId="0" applyNumberFormat="0" applyBorder="0" applyAlignment="0" applyProtection="0"/>
    <xf numFmtId="0" fontId="18" fillId="8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1" borderId="0" applyNumberFormat="0" applyBorder="0" applyAlignment="0" applyProtection="0"/>
    <xf numFmtId="0" fontId="18" fillId="83" borderId="0" applyNumberFormat="0" applyBorder="0" applyAlignment="0" applyProtection="0"/>
    <xf numFmtId="0" fontId="18" fillId="83" borderId="0" applyNumberFormat="0" applyBorder="0" applyAlignment="0" applyProtection="0"/>
    <xf numFmtId="0" fontId="18" fillId="83" borderId="0" applyNumberFormat="0" applyBorder="0" applyAlignment="0" applyProtection="0"/>
    <xf numFmtId="0" fontId="18" fillId="83" borderId="0" applyNumberFormat="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5"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69"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71" borderId="69" applyNumberFormat="0" applyFont="0" applyAlignment="0" applyProtection="0"/>
    <xf numFmtId="0" fontId="21" fillId="16" borderId="14" applyNumberFormat="0" applyFont="0" applyAlignment="0" applyProtection="0"/>
    <xf numFmtId="0" fontId="18" fillId="71" borderId="69" applyNumberFormat="0" applyFont="0" applyAlignment="0" applyProtection="0"/>
    <xf numFmtId="0" fontId="18" fillId="71" borderId="69" applyNumberFormat="0" applyFont="0" applyAlignment="0" applyProtection="0"/>
    <xf numFmtId="0" fontId="18" fillId="71" borderId="69" applyNumberFormat="0" applyFont="0" applyAlignment="0" applyProtection="0"/>
    <xf numFmtId="0" fontId="18" fillId="71" borderId="69"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quotePrefix="1" applyFill="1">
      <alignment readingOrder="1"/>
    </xf>
    <xf numFmtId="0" fontId="17" fillId="6" borderId="5" xfId="0" applyFont="1" applyFill="1" applyBorder="1"/>
    <xf numFmtId="9" fontId="5" fillId="13" borderId="0" xfId="8"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8" applyFont="1" applyFill="1" applyBorder="1"/>
    <xf numFmtId="1" fontId="0" fillId="13" borderId="0" xfId="0" applyNumberFormat="1" applyFill="1" applyAlignment="1">
      <alignment horizontal="center" readingOrder="1"/>
    </xf>
    <xf numFmtId="3" fontId="0" fillId="0" borderId="0" xfId="0" applyNumberFormat="1"/>
    <xf numFmtId="1" fontId="0" fillId="0" borderId="0" xfId="0" applyNumberFormat="1"/>
    <xf numFmtId="0" fontId="22" fillId="0" borderId="0" xfId="15" applyFont="1"/>
    <xf numFmtId="0" fontId="5" fillId="0" borderId="0" xfId="15" applyFont="1"/>
    <xf numFmtId="5" fontId="5" fillId="0" borderId="0" xfId="15" applyNumberFormat="1" applyFont="1" applyAlignment="1">
      <alignment horizontal="right"/>
    </xf>
    <xf numFmtId="164" fontId="5" fillId="0" borderId="0" xfId="15" applyNumberFormat="1" applyFont="1"/>
    <xf numFmtId="0" fontId="5" fillId="0" borderId="0" xfId="15"/>
    <xf numFmtId="0" fontId="11" fillId="0" borderId="0" xfId="15" applyFont="1"/>
    <xf numFmtId="44" fontId="5" fillId="0" borderId="0" xfId="1"/>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71" fontId="0" fillId="0" borderId="0" xfId="0" applyNumberFormat="1"/>
    <xf numFmtId="164" fontId="0" fillId="13" borderId="0" xfId="0" applyNumberFormat="1" applyFill="1" applyAlignment="1">
      <alignment horizontal="center" readingOrder="1"/>
    </xf>
    <xf numFmtId="0" fontId="18" fillId="0" borderId="0" xfId="12" applyFont="1"/>
    <xf numFmtId="0" fontId="30" fillId="11" borderId="21" xfId="12" applyFont="1" applyFill="1" applyBorder="1"/>
    <xf numFmtId="0" fontId="30" fillId="11" borderId="22" xfId="12" applyFont="1" applyFill="1" applyBorder="1"/>
    <xf numFmtId="0" fontId="30" fillId="11" borderId="8" xfId="12" applyFont="1" applyFill="1" applyBorder="1"/>
    <xf numFmtId="0" fontId="31" fillId="14" borderId="16" xfId="35" applyFont="1" applyFill="1" applyBorder="1" applyAlignment="1">
      <alignment horizontal="left" vertical="center" wrapText="1"/>
    </xf>
    <xf numFmtId="0" fontId="31" fillId="14" borderId="5" xfId="35" applyFont="1" applyFill="1" applyBorder="1" applyAlignment="1">
      <alignment horizontal="left" vertical="center" wrapText="1"/>
    </xf>
    <xf numFmtId="0" fontId="32" fillId="0" borderId="5" xfId="35" applyNumberFormat="1" applyFont="1" applyFill="1" applyBorder="1" applyAlignment="1">
      <alignment horizontal="left" vertical="center" wrapText="1"/>
    </xf>
    <xf numFmtId="0" fontId="32" fillId="0" borderId="5" xfId="35" applyFont="1" applyFill="1" applyBorder="1" applyAlignment="1">
      <alignment horizontal="left" vertical="center" wrapText="1"/>
    </xf>
    <xf numFmtId="0" fontId="18" fillId="0" borderId="5" xfId="35" applyFont="1" applyFill="1" applyBorder="1" applyAlignment="1">
      <alignment horizontal="left" vertical="center" wrapText="1"/>
    </xf>
    <xf numFmtId="0" fontId="32" fillId="0" borderId="5" xfId="35" applyFont="1" applyBorder="1" applyAlignment="1">
      <alignment horizontal="left" vertical="center" wrapText="1" readingOrder="1"/>
    </xf>
    <xf numFmtId="0" fontId="32" fillId="0" borderId="5" xfId="35" applyFont="1" applyBorder="1" applyAlignment="1">
      <alignment vertical="center" wrapText="1" readingOrder="1"/>
    </xf>
    <xf numFmtId="0" fontId="32" fillId="0" borderId="5" xfId="35" applyFont="1" applyBorder="1" applyAlignment="1">
      <alignment wrapText="1" readingOrder="1"/>
    </xf>
    <xf numFmtId="2" fontId="5" fillId="0" borderId="0" xfId="36" applyNumberFormat="1" applyFont="1"/>
    <xf numFmtId="0" fontId="8" fillId="59" borderId="7" xfId="2" applyFont="1" applyFill="1" applyBorder="1" applyAlignment="1">
      <alignment horizontal="center"/>
    </xf>
    <xf numFmtId="0" fontId="10" fillId="10" borderId="7" xfId="2" applyFont="1" applyFill="1" applyBorder="1" applyAlignment="1">
      <alignment horizontal="center" wrapText="1"/>
    </xf>
    <xf numFmtId="0" fontId="10" fillId="10" borderId="5" xfId="2" applyFont="1" applyFill="1" applyBorder="1" applyAlignment="1">
      <alignment horizontal="center" wrapText="1"/>
    </xf>
    <xf numFmtId="8" fontId="0" fillId="0" borderId="0" xfId="0" applyNumberFormat="1"/>
    <xf numFmtId="9" fontId="0" fillId="0" borderId="0" xfId="8" applyFont="1"/>
    <xf numFmtId="0" fontId="12" fillId="62" borderId="6" xfId="0" applyFont="1" applyFill="1" applyBorder="1" applyAlignment="1">
      <alignment horizontal="left" wrapText="1" readingOrder="1"/>
    </xf>
    <xf numFmtId="0" fontId="12" fillId="62"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59" xfId="0" applyBorder="1">
      <alignment readingOrder="1"/>
    </xf>
    <xf numFmtId="0" fontId="0" fillId="0" borderId="57" xfId="0" applyBorder="1">
      <alignment readingOrder="1"/>
    </xf>
    <xf numFmtId="0" fontId="0" fillId="0" borderId="0" xfId="0" applyBorder="1">
      <alignment readingOrder="1"/>
    </xf>
    <xf numFmtId="0" fontId="0" fillId="0" borderId="58" xfId="0" applyBorder="1">
      <alignment readingOrder="1"/>
    </xf>
    <xf numFmtId="0" fontId="0" fillId="0" borderId="19" xfId="0" applyBorder="1">
      <alignment readingOrder="1"/>
    </xf>
    <xf numFmtId="0" fontId="0" fillId="0" borderId="61" xfId="0" applyBorder="1">
      <alignment readingOrder="1"/>
    </xf>
    <xf numFmtId="0" fontId="0" fillId="0" borderId="60" xfId="0" applyBorder="1">
      <alignment readingOrder="1"/>
    </xf>
    <xf numFmtId="0" fontId="10" fillId="63" borderId="21" xfId="0" applyFont="1" applyFill="1" applyBorder="1" applyAlignment="1">
      <alignment horizontal="centerContinuous" wrapText="1" readingOrder="1"/>
    </xf>
    <xf numFmtId="0" fontId="10" fillId="63" borderId="8" xfId="0" applyFont="1" applyFill="1" applyBorder="1" applyAlignment="1">
      <alignment horizontal="centerContinuous" wrapText="1" readingOrder="1"/>
    </xf>
    <xf numFmtId="164" fontId="10" fillId="63" borderId="21" xfId="0" applyNumberFormat="1" applyFont="1" applyFill="1" applyBorder="1" applyAlignment="1">
      <alignment horizontal="centerContinuous" wrapText="1" readingOrder="1"/>
    </xf>
    <xf numFmtId="164" fontId="10" fillId="63" borderId="22" xfId="0" applyNumberFormat="1" applyFont="1" applyFill="1" applyBorder="1" applyAlignment="1">
      <alignment horizontal="centerContinuous" wrapText="1" readingOrder="1"/>
    </xf>
    <xf numFmtId="164" fontId="10" fillId="63" borderId="8" xfId="0" applyNumberFormat="1" applyFont="1" applyFill="1" applyBorder="1" applyAlignment="1">
      <alignment horizontal="centerContinuous" wrapText="1" readingOrder="1"/>
    </xf>
    <xf numFmtId="164" fontId="10" fillId="63" borderId="15" xfId="0" applyNumberFormat="1" applyFont="1" applyFill="1" applyBorder="1" applyAlignment="1">
      <alignment horizontal="center" wrapText="1" readingOrder="1"/>
    </xf>
    <xf numFmtId="174" fontId="10" fillId="8" borderId="7" xfId="0" applyNumberFormat="1" applyFont="1" applyFill="1" applyBorder="1" applyAlignment="1">
      <alignment horizontal="center" wrapText="1" readingOrder="1"/>
    </xf>
    <xf numFmtId="164" fontId="61" fillId="0" borderId="0" xfId="0" applyNumberFormat="1" applyFont="1">
      <alignment readingOrder="1"/>
    </xf>
    <xf numFmtId="0" fontId="10" fillId="9" borderId="21" xfId="0" applyFont="1" applyFill="1" applyBorder="1" applyAlignment="1">
      <alignment horizontal="centerContinuous" wrapText="1" readingOrder="1"/>
    </xf>
    <xf numFmtId="0" fontId="10" fillId="9" borderId="22" xfId="0" applyFont="1" applyFill="1" applyBorder="1" applyAlignment="1">
      <alignment horizontal="centerContinuous" wrapText="1" readingOrder="1"/>
    </xf>
    <xf numFmtId="164" fontId="10" fillId="9" borderId="22"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21" xfId="0" applyNumberFormat="1" applyFont="1" applyFill="1" applyBorder="1" applyAlignment="1">
      <alignment horizontal="centerContinuous" wrapText="1" readingOrder="1"/>
    </xf>
    <xf numFmtId="164" fontId="11" fillId="0" borderId="0" xfId="0" applyNumberFormat="1" applyFont="1">
      <alignment readingOrder="1"/>
    </xf>
    <xf numFmtId="175" fontId="11" fillId="0" borderId="0" xfId="0" applyNumberFormat="1" applyFont="1">
      <alignment readingOrder="1"/>
    </xf>
    <xf numFmtId="175" fontId="0" fillId="0" borderId="0" xfId="0" applyNumberFormat="1">
      <alignment readingOrder="1"/>
    </xf>
    <xf numFmtId="175" fontId="61" fillId="0" borderId="0" xfId="0" applyNumberFormat="1" applyFont="1">
      <alignment readingOrder="1"/>
    </xf>
    <xf numFmtId="0" fontId="5" fillId="17" borderId="41" xfId="369" applyFill="1" applyBorder="1" applyAlignment="1">
      <alignment horizontal="right"/>
    </xf>
    <xf numFmtId="0" fontId="5" fillId="17" borderId="45" xfId="369" applyFill="1" applyBorder="1" applyAlignment="1">
      <alignment horizontal="right"/>
    </xf>
    <xf numFmtId="0" fontId="5" fillId="64" borderId="41" xfId="369" applyFill="1" applyBorder="1" applyAlignment="1">
      <alignment horizontal="right"/>
    </xf>
    <xf numFmtId="0" fontId="5" fillId="64" borderId="45" xfId="369" applyFill="1" applyBorder="1" applyAlignment="1">
      <alignment horizontal="right"/>
    </xf>
    <xf numFmtId="0" fontId="11" fillId="0" borderId="0" xfId="369" applyFont="1"/>
    <xf numFmtId="0" fontId="5" fillId="0" borderId="0" xfId="369"/>
    <xf numFmtId="0" fontId="5" fillId="0" borderId="0" xfId="369" applyAlignment="1">
      <alignment horizontal="left"/>
    </xf>
    <xf numFmtId="173" fontId="5" fillId="0" borderId="0" xfId="368" applyNumberFormat="1"/>
    <xf numFmtId="9" fontId="5" fillId="0" borderId="0" xfId="8"/>
    <xf numFmtId="0" fontId="5" fillId="0" borderId="0" xfId="369" applyFont="1"/>
    <xf numFmtId="0" fontId="11" fillId="0" borderId="49" xfId="369" applyFont="1" applyBorder="1" applyAlignment="1">
      <alignment horizontal="right"/>
    </xf>
    <xf numFmtId="173" fontId="5" fillId="0" borderId="0" xfId="369" applyNumberFormat="1"/>
    <xf numFmtId="9" fontId="11" fillId="0" borderId="0" xfId="8" applyFont="1" applyAlignment="1">
      <alignment horizontal="right"/>
    </xf>
    <xf numFmtId="0" fontId="11" fillId="0" borderId="49" xfId="369" applyFont="1" applyBorder="1" applyAlignment="1">
      <alignment horizontal="left"/>
    </xf>
    <xf numFmtId="0" fontId="5" fillId="0" borderId="0" xfId="369" applyAlignment="1">
      <alignment horizontal="center"/>
    </xf>
    <xf numFmtId="0" fontId="11" fillId="66" borderId="33" xfId="369" applyFont="1" applyFill="1" applyBorder="1"/>
    <xf numFmtId="0" fontId="11" fillId="66" borderId="34" xfId="369" applyFont="1" applyFill="1" applyBorder="1"/>
    <xf numFmtId="0" fontId="11" fillId="66" borderId="34" xfId="369" applyFont="1" applyFill="1" applyBorder="1" applyAlignment="1">
      <alignment wrapText="1"/>
    </xf>
    <xf numFmtId="0" fontId="11" fillId="66" borderId="36" xfId="369" applyFont="1" applyFill="1" applyBorder="1" applyAlignment="1">
      <alignment wrapText="1"/>
    </xf>
    <xf numFmtId="0" fontId="11" fillId="66" borderId="37" xfId="369" applyFont="1" applyFill="1" applyBorder="1" applyAlignment="1">
      <alignment wrapText="1"/>
    </xf>
    <xf numFmtId="0" fontId="5" fillId="0" borderId="0" xfId="369" applyAlignment="1">
      <alignment wrapText="1"/>
    </xf>
    <xf numFmtId="176" fontId="5" fillId="0" borderId="0" xfId="1" applyNumberFormat="1"/>
    <xf numFmtId="176" fontId="5" fillId="17" borderId="51" xfId="1" applyNumberFormat="1" applyFill="1" applyBorder="1"/>
    <xf numFmtId="0" fontId="5" fillId="17" borderId="5" xfId="369" applyFill="1" applyBorder="1"/>
    <xf numFmtId="44" fontId="5" fillId="17" borderId="5" xfId="1" applyFill="1" applyBorder="1"/>
    <xf numFmtId="176" fontId="5" fillId="17" borderId="5" xfId="1" applyNumberFormat="1" applyFill="1" applyBorder="1"/>
    <xf numFmtId="9" fontId="5" fillId="0" borderId="5" xfId="8" applyBorder="1"/>
    <xf numFmtId="173" fontId="5" fillId="0" borderId="5" xfId="368" applyNumberFormat="1" applyBorder="1"/>
    <xf numFmtId="176" fontId="5" fillId="17" borderId="44" xfId="1" applyNumberFormat="1" applyFill="1" applyBorder="1"/>
    <xf numFmtId="0" fontId="5" fillId="17" borderId="39" xfId="369" applyFill="1" applyBorder="1"/>
    <xf numFmtId="176" fontId="5" fillId="17" borderId="39" xfId="1" applyNumberFormat="1" applyFill="1" applyBorder="1"/>
    <xf numFmtId="44" fontId="5" fillId="0" borderId="0" xfId="1" applyNumberFormat="1"/>
    <xf numFmtId="0" fontId="5" fillId="64" borderId="51" xfId="369" applyFill="1" applyBorder="1" applyAlignment="1">
      <alignment horizontal="right"/>
    </xf>
    <xf numFmtId="0" fontId="5" fillId="17" borderId="42" xfId="369" applyFill="1" applyBorder="1"/>
    <xf numFmtId="0" fontId="5" fillId="64" borderId="44" xfId="369" applyFill="1" applyBorder="1" applyAlignment="1">
      <alignment horizontal="right"/>
    </xf>
    <xf numFmtId="0" fontId="5" fillId="17" borderId="46" xfId="369" applyFill="1" applyBorder="1"/>
    <xf numFmtId="0" fontId="11" fillId="0" borderId="49" xfId="369" applyFont="1" applyBorder="1"/>
    <xf numFmtId="0" fontId="11" fillId="66" borderId="35" xfId="369" applyFont="1" applyFill="1" applyBorder="1"/>
    <xf numFmtId="0" fontId="11" fillId="66" borderId="56" xfId="369" applyFont="1" applyFill="1" applyBorder="1" applyAlignment="1">
      <alignment wrapText="1"/>
    </xf>
    <xf numFmtId="0" fontId="11" fillId="66" borderId="35" xfId="369" applyFont="1" applyFill="1" applyBorder="1" applyAlignment="1">
      <alignment wrapText="1"/>
    </xf>
    <xf numFmtId="0" fontId="11" fillId="66" borderId="33" xfId="369" applyFont="1" applyFill="1" applyBorder="1" applyAlignment="1">
      <alignment wrapText="1"/>
    </xf>
    <xf numFmtId="173" fontId="5" fillId="17" borderId="5" xfId="368" applyNumberFormat="1" applyFill="1" applyBorder="1"/>
    <xf numFmtId="9" fontId="5" fillId="17" borderId="5" xfId="8" applyFill="1" applyBorder="1"/>
    <xf numFmtId="0" fontId="5" fillId="17" borderId="51" xfId="369" applyFill="1" applyBorder="1" applyAlignment="1">
      <alignment horizontal="right"/>
    </xf>
    <xf numFmtId="173" fontId="5" fillId="17" borderId="5" xfId="368" applyNumberFormat="1" applyFill="1" applyBorder="1" applyAlignment="1">
      <alignment horizontal="right"/>
    </xf>
    <xf numFmtId="1" fontId="5" fillId="64" borderId="5" xfId="369" applyNumberFormat="1" applyFill="1" applyBorder="1"/>
    <xf numFmtId="1" fontId="5" fillId="17" borderId="5" xfId="369" applyNumberFormat="1" applyFill="1" applyBorder="1"/>
    <xf numFmtId="173" fontId="5" fillId="64" borderId="5" xfId="368" applyNumberFormat="1" applyFill="1" applyBorder="1"/>
    <xf numFmtId="177" fontId="5" fillId="64" borderId="5" xfId="369" applyNumberFormat="1" applyFill="1" applyBorder="1"/>
    <xf numFmtId="1" fontId="5" fillId="64" borderId="6" xfId="369" applyNumberFormat="1" applyFill="1" applyBorder="1"/>
    <xf numFmtId="173" fontId="5" fillId="0" borderId="38" xfId="368" applyNumberFormat="1" applyBorder="1"/>
    <xf numFmtId="0" fontId="5" fillId="0" borderId="52" xfId="369" applyBorder="1"/>
    <xf numFmtId="0" fontId="5" fillId="0" borderId="38" xfId="369" applyBorder="1"/>
    <xf numFmtId="0" fontId="5" fillId="17" borderId="44" xfId="369" applyFill="1" applyBorder="1" applyAlignment="1">
      <alignment horizontal="right"/>
    </xf>
    <xf numFmtId="173" fontId="5" fillId="17" borderId="39" xfId="368" applyNumberFormat="1" applyFill="1" applyBorder="1" applyAlignment="1">
      <alignment horizontal="right"/>
    </xf>
    <xf numFmtId="173" fontId="5" fillId="17" borderId="39" xfId="368" applyNumberFormat="1" applyFill="1" applyBorder="1"/>
    <xf numFmtId="1" fontId="5" fillId="64" borderId="39" xfId="369" applyNumberFormat="1" applyFill="1" applyBorder="1"/>
    <xf numFmtId="9" fontId="5" fillId="17" borderId="39" xfId="8" applyFill="1" applyBorder="1"/>
    <xf numFmtId="173" fontId="5" fillId="64" borderId="39" xfId="368" applyNumberFormat="1" applyFill="1" applyBorder="1"/>
    <xf numFmtId="177" fontId="5" fillId="64" borderId="39" xfId="369" applyNumberFormat="1" applyFill="1" applyBorder="1"/>
    <xf numFmtId="1" fontId="5" fillId="64" borderId="40" xfId="369" applyNumberFormat="1" applyFill="1" applyBorder="1"/>
    <xf numFmtId="173" fontId="5" fillId="0" borderId="54" xfId="368" applyNumberFormat="1" applyBorder="1"/>
    <xf numFmtId="173" fontId="5" fillId="0" borderId="43" xfId="368" applyNumberFormat="1" applyBorder="1"/>
    <xf numFmtId="0" fontId="11" fillId="0" borderId="37" xfId="369" applyFont="1" applyBorder="1"/>
    <xf numFmtId="0" fontId="11" fillId="66" borderId="50" xfId="369" applyFont="1" applyFill="1" applyBorder="1" applyAlignment="1">
      <alignment wrapText="1"/>
    </xf>
    <xf numFmtId="0" fontId="5" fillId="17" borderId="5" xfId="369" applyFill="1" applyBorder="1" applyAlignment="1">
      <alignment horizontal="right"/>
    </xf>
    <xf numFmtId="173" fontId="5" fillId="17" borderId="5" xfId="369" applyNumberFormat="1" applyFill="1" applyBorder="1"/>
    <xf numFmtId="1" fontId="5" fillId="64" borderId="42" xfId="369" applyNumberFormat="1" applyFill="1" applyBorder="1"/>
    <xf numFmtId="0" fontId="5" fillId="17" borderId="39" xfId="369" applyFill="1" applyBorder="1" applyAlignment="1">
      <alignment horizontal="right"/>
    </xf>
    <xf numFmtId="173" fontId="5" fillId="17" borderId="39" xfId="369" applyNumberFormat="1" applyFill="1" applyBorder="1"/>
    <xf numFmtId="1" fontId="5" fillId="17" borderId="39" xfId="369" applyNumberFormat="1" applyFill="1" applyBorder="1"/>
    <xf numFmtId="1" fontId="5" fillId="64" borderId="46" xfId="369" applyNumberFormat="1" applyFill="1" applyBorder="1"/>
    <xf numFmtId="0" fontId="5" fillId="64" borderId="5" xfId="369" applyFill="1" applyBorder="1" applyAlignment="1">
      <alignment horizontal="right"/>
    </xf>
    <xf numFmtId="0" fontId="5" fillId="64" borderId="39" xfId="369" applyFill="1" applyBorder="1" applyAlignment="1">
      <alignment horizontal="right"/>
    </xf>
    <xf numFmtId="0" fontId="11" fillId="66" borderId="21" xfId="369" applyFont="1" applyFill="1" applyBorder="1"/>
    <xf numFmtId="0" fontId="11" fillId="66" borderId="9" xfId="369" applyFont="1" applyFill="1" applyBorder="1"/>
    <xf numFmtId="0" fontId="11" fillId="66" borderId="47" xfId="369" applyFont="1" applyFill="1" applyBorder="1" applyAlignment="1">
      <alignment wrapText="1"/>
    </xf>
    <xf numFmtId="0" fontId="11" fillId="66" borderId="48" xfId="369" applyFont="1" applyFill="1" applyBorder="1" applyAlignment="1">
      <alignment wrapText="1"/>
    </xf>
    <xf numFmtId="0" fontId="5" fillId="17" borderId="52" xfId="369" applyFill="1" applyBorder="1" applyAlignment="1">
      <alignment horizontal="right"/>
    </xf>
    <xf numFmtId="164" fontId="5" fillId="64" borderId="5" xfId="369" applyNumberFormat="1" applyFill="1" applyBorder="1"/>
    <xf numFmtId="9" fontId="5" fillId="67" borderId="5" xfId="8" applyNumberFormat="1" applyFill="1" applyBorder="1"/>
    <xf numFmtId="169" fontId="5" fillId="67" borderId="6" xfId="8" applyNumberFormat="1" applyFill="1" applyBorder="1"/>
    <xf numFmtId="176" fontId="5" fillId="0" borderId="5" xfId="1" applyNumberFormat="1" applyBorder="1"/>
    <xf numFmtId="44" fontId="5" fillId="0" borderId="5" xfId="1" applyBorder="1"/>
    <xf numFmtId="1" fontId="5" fillId="0" borderId="42" xfId="369" applyNumberFormat="1" applyFill="1" applyBorder="1" applyAlignment="1">
      <alignment horizontal="center"/>
    </xf>
    <xf numFmtId="0" fontId="5" fillId="17" borderId="54" xfId="369" applyFill="1" applyBorder="1" applyAlignment="1">
      <alignment horizontal="right"/>
    </xf>
    <xf numFmtId="164" fontId="5" fillId="64" borderId="39" xfId="369" applyNumberFormat="1" applyFill="1" applyBorder="1"/>
    <xf numFmtId="9" fontId="5" fillId="67" borderId="39" xfId="8" applyNumberFormat="1" applyFill="1" applyBorder="1"/>
    <xf numFmtId="169" fontId="5" fillId="67" borderId="40" xfId="8" applyNumberFormat="1" applyFill="1" applyBorder="1"/>
    <xf numFmtId="176" fontId="5" fillId="0" borderId="39" xfId="1" applyNumberFormat="1" applyBorder="1"/>
    <xf numFmtId="44" fontId="5" fillId="0" borderId="39" xfId="1" applyBorder="1"/>
    <xf numFmtId="1" fontId="5" fillId="0" borderId="46" xfId="369" applyNumberFormat="1" applyFill="1" applyBorder="1" applyAlignment="1">
      <alignment horizontal="center"/>
    </xf>
    <xf numFmtId="0" fontId="5" fillId="64" borderId="52" xfId="369" applyFill="1" applyBorder="1" applyAlignment="1">
      <alignment horizontal="right"/>
    </xf>
    <xf numFmtId="0" fontId="5" fillId="64" borderId="54" xfId="369" applyFill="1" applyBorder="1" applyAlignment="1">
      <alignment horizontal="right"/>
    </xf>
    <xf numFmtId="0" fontId="5" fillId="0" borderId="5" xfId="369" applyBorder="1"/>
    <xf numFmtId="173" fontId="5" fillId="17" borderId="16" xfId="368" applyNumberFormat="1" applyFill="1" applyBorder="1" applyAlignment="1">
      <alignment horizontal="right"/>
    </xf>
    <xf numFmtId="0" fontId="5" fillId="17" borderId="16" xfId="369" applyFill="1" applyBorder="1"/>
    <xf numFmtId="173" fontId="5" fillId="17" borderId="16" xfId="368" applyNumberFormat="1" applyFill="1" applyBorder="1"/>
    <xf numFmtId="1" fontId="5" fillId="64" borderId="16" xfId="369" applyNumberFormat="1" applyFill="1" applyBorder="1"/>
    <xf numFmtId="1" fontId="5" fillId="17" borderId="16" xfId="369" applyNumberFormat="1" applyFill="1" applyBorder="1"/>
    <xf numFmtId="9" fontId="5" fillId="17" borderId="16" xfId="8" applyFill="1" applyBorder="1"/>
    <xf numFmtId="173" fontId="5" fillId="64" borderId="16" xfId="368" applyNumberFormat="1" applyFill="1" applyBorder="1"/>
    <xf numFmtId="177" fontId="5" fillId="64" borderId="16" xfId="369" applyNumberFormat="1" applyFill="1" applyBorder="1"/>
    <xf numFmtId="1" fontId="5" fillId="64" borderId="11" xfId="369" applyNumberFormat="1" applyFill="1" applyBorder="1"/>
    <xf numFmtId="0" fontId="5" fillId="0" borderId="55" xfId="369" applyBorder="1"/>
    <xf numFmtId="173" fontId="5" fillId="17" borderId="16" xfId="369" applyNumberFormat="1" applyFill="1" applyBorder="1"/>
    <xf numFmtId="9" fontId="5" fillId="17" borderId="40" xfId="8" applyFill="1" applyBorder="1"/>
    <xf numFmtId="1" fontId="5" fillId="17" borderId="53" xfId="369" applyNumberFormat="1" applyFill="1" applyBorder="1"/>
    <xf numFmtId="0" fontId="11" fillId="0" borderId="5" xfId="369" applyFont="1" applyBorder="1" applyAlignment="1">
      <alignment horizontal="center"/>
    </xf>
    <xf numFmtId="0" fontId="11" fillId="0" borderId="5" xfId="369" applyFont="1" applyBorder="1"/>
    <xf numFmtId="0" fontId="11" fillId="0" borderId="5" xfId="369" applyFont="1" applyBorder="1" applyAlignment="1">
      <alignment horizontal="left"/>
    </xf>
    <xf numFmtId="43" fontId="5" fillId="0" borderId="5" xfId="368" applyFill="1" applyBorder="1" applyAlignment="1">
      <alignment horizontal="right"/>
    </xf>
    <xf numFmtId="43" fontId="5" fillId="0" borderId="5" xfId="368" applyFont="1" applyFill="1" applyBorder="1" applyAlignment="1">
      <alignment horizontal="right"/>
    </xf>
    <xf numFmtId="0" fontId="5" fillId="0" borderId="5" xfId="369" applyFill="1" applyBorder="1" applyAlignment="1">
      <alignment horizontal="right" wrapText="1"/>
    </xf>
    <xf numFmtId="44" fontId="5" fillId="0" borderId="5" xfId="1" applyNumberFormat="1" applyBorder="1"/>
    <xf numFmtId="177" fontId="5" fillId="0" borderId="5" xfId="369" applyNumberFormat="1" applyBorder="1"/>
    <xf numFmtId="173" fontId="5" fillId="0" borderId="5" xfId="369" applyNumberFormat="1" applyBorder="1"/>
    <xf numFmtId="3" fontId="5" fillId="0" borderId="5" xfId="369" applyNumberFormat="1" applyBorder="1"/>
    <xf numFmtId="0" fontId="5" fillId="0" borderId="5" xfId="369" applyBorder="1" applyAlignment="1">
      <alignment horizontal="right"/>
    </xf>
    <xf numFmtId="0" fontId="5" fillId="0" borderId="5" xfId="369" applyBorder="1" applyAlignment="1">
      <alignment horizontal="left"/>
    </xf>
    <xf numFmtId="0" fontId="5" fillId="0" borderId="5" xfId="369" applyFont="1" applyBorder="1" applyAlignment="1">
      <alignment horizontal="right"/>
    </xf>
    <xf numFmtId="176" fontId="65" fillId="0" borderId="0" xfId="1" applyNumberFormat="1" applyFont="1"/>
    <xf numFmtId="0" fontId="65" fillId="0" borderId="0" xfId="369" applyFont="1"/>
    <xf numFmtId="0" fontId="11" fillId="66" borderId="17" xfId="369" applyFont="1" applyFill="1" applyBorder="1"/>
    <xf numFmtId="176" fontId="5" fillId="61" borderId="0" xfId="1" applyNumberFormat="1" applyFill="1"/>
    <xf numFmtId="44" fontId="0" fillId="0" borderId="0" xfId="1" applyFont="1"/>
    <xf numFmtId="0" fontId="66" fillId="68" borderId="62" xfId="0" applyFont="1" applyFill="1" applyBorder="1"/>
    <xf numFmtId="0" fontId="66" fillId="68" borderId="63" xfId="0" applyFont="1" applyFill="1" applyBorder="1"/>
    <xf numFmtId="0" fontId="66" fillId="68" borderId="64" xfId="0" applyFont="1" applyFill="1" applyBorder="1"/>
    <xf numFmtId="0" fontId="67" fillId="69" borderId="62" xfId="0" applyFont="1" applyFill="1" applyBorder="1"/>
    <xf numFmtId="0" fontId="67" fillId="69" borderId="63" xfId="0" applyFont="1" applyFill="1" applyBorder="1"/>
    <xf numFmtId="3" fontId="67" fillId="69" borderId="63" xfId="0" applyNumberFormat="1" applyFont="1" applyFill="1" applyBorder="1"/>
    <xf numFmtId="178" fontId="67" fillId="69" borderId="64" xfId="0" applyNumberFormat="1" applyFont="1" applyFill="1" applyBorder="1"/>
    <xf numFmtId="0" fontId="67" fillId="0" borderId="65" xfId="0" applyFont="1" applyBorder="1"/>
    <xf numFmtId="0" fontId="67" fillId="0" borderId="66" xfId="0" applyFont="1" applyBorder="1"/>
    <xf numFmtId="3" fontId="67" fillId="0" borderId="66" xfId="0" applyNumberFormat="1" applyFont="1" applyBorder="1"/>
    <xf numFmtId="178" fontId="67" fillId="0" borderId="67" xfId="0" applyNumberFormat="1" applyFont="1" applyBorder="1"/>
    <xf numFmtId="0" fontId="67" fillId="69" borderId="65" xfId="0" applyFont="1" applyFill="1" applyBorder="1"/>
    <xf numFmtId="0" fontId="67" fillId="69" borderId="66" xfId="0" applyFont="1" applyFill="1" applyBorder="1"/>
    <xf numFmtId="3" fontId="67" fillId="69" borderId="66" xfId="0" applyNumberFormat="1" applyFont="1" applyFill="1" applyBorder="1"/>
    <xf numFmtId="178" fontId="67" fillId="69" borderId="67" xfId="0" applyNumberFormat="1" applyFont="1" applyFill="1" applyBorder="1"/>
    <xf numFmtId="0" fontId="67" fillId="0" borderId="62" xfId="0" applyFont="1" applyBorder="1"/>
    <xf numFmtId="0" fontId="67" fillId="0" borderId="63" xfId="0" applyFont="1" applyBorder="1"/>
    <xf numFmtId="3" fontId="67" fillId="0" borderId="63" xfId="0" applyNumberFormat="1" applyFont="1" applyBorder="1"/>
    <xf numFmtId="178" fontId="67" fillId="0" borderId="64" xfId="0" applyNumberFormat="1" applyFont="1" applyBorder="1"/>
    <xf numFmtId="2" fontId="0" fillId="0" borderId="0" xfId="0" applyNumberFormat="1"/>
    <xf numFmtId="0" fontId="21" fillId="70" borderId="68" xfId="370" applyFont="1" applyFill="1" applyBorder="1" applyAlignment="1">
      <alignment horizontal="center" wrapText="1"/>
    </xf>
    <xf numFmtId="179" fontId="21" fillId="70" borderId="68" xfId="370" applyNumberFormat="1" applyFont="1" applyFill="1" applyBorder="1" applyAlignment="1">
      <alignment horizontal="center" wrapText="1"/>
    </xf>
    <xf numFmtId="0" fontId="21" fillId="0" borderId="14" xfId="371" applyFont="1" applyFill="1" applyBorder="1" applyAlignment="1">
      <alignment wrapText="1"/>
    </xf>
    <xf numFmtId="179" fontId="21" fillId="0" borderId="14" xfId="371" applyNumberFormat="1" applyFont="1" applyFill="1" applyBorder="1" applyAlignment="1">
      <alignment horizontal="right" wrapText="1"/>
    </xf>
    <xf numFmtId="180" fontId="21" fillId="0" borderId="14" xfId="371" applyNumberFormat="1" applyFont="1" applyFill="1" applyBorder="1" applyAlignment="1">
      <alignment horizontal="right" wrapText="1"/>
    </xf>
    <xf numFmtId="0" fontId="21" fillId="0" borderId="14" xfId="370" applyFont="1" applyFill="1" applyBorder="1" applyAlignment="1">
      <alignment wrapText="1"/>
    </xf>
    <xf numFmtId="179" fontId="21" fillId="0" borderId="14" xfId="370" applyNumberFormat="1" applyFont="1" applyFill="1" applyBorder="1" applyAlignment="1">
      <alignment horizontal="right" wrapText="1"/>
    </xf>
    <xf numFmtId="180" fontId="21" fillId="0" borderId="14" xfId="370" applyNumberFormat="1" applyFont="1" applyFill="1" applyBorder="1" applyAlignment="1">
      <alignment horizontal="right" wrapText="1"/>
    </xf>
    <xf numFmtId="179" fontId="21" fillId="0" borderId="0" xfId="370" applyNumberFormat="1" applyFont="1" applyFill="1" applyBorder="1" applyAlignment="1">
      <alignment horizontal="right" wrapText="1"/>
    </xf>
    <xf numFmtId="179" fontId="21" fillId="0" borderId="0" xfId="371" applyNumberFormat="1" applyFont="1" applyFill="1" applyBorder="1" applyAlignment="1">
      <alignment horizontal="right" wrapText="1"/>
    </xf>
    <xf numFmtId="170" fontId="21" fillId="0" borderId="14" xfId="371" applyNumberFormat="1" applyFont="1" applyFill="1" applyBorder="1" applyAlignment="1">
      <alignment horizontal="right" wrapText="1"/>
    </xf>
    <xf numFmtId="0" fontId="17" fillId="14" borderId="5" xfId="213" applyFont="1" applyFill="1" applyBorder="1"/>
    <xf numFmtId="0" fontId="17" fillId="14" borderId="1" xfId="213" applyFont="1" applyFill="1" applyBorder="1"/>
    <xf numFmtId="0" fontId="17" fillId="14" borderId="4" xfId="213" applyFont="1" applyFill="1" applyBorder="1"/>
    <xf numFmtId="0" fontId="17" fillId="14" borderId="3" xfId="213" applyFont="1" applyFill="1" applyBorder="1"/>
    <xf numFmtId="164" fontId="10" fillId="9" borderId="9" xfId="213" applyNumberFormat="1" applyFont="1" applyFill="1" applyBorder="1" applyAlignment="1">
      <alignment horizontal="centerContinuous" wrapText="1" readingOrder="1"/>
    </xf>
    <xf numFmtId="164" fontId="10" fillId="9" borderId="10" xfId="213" applyNumberFormat="1" applyFont="1" applyFill="1" applyBorder="1" applyAlignment="1">
      <alignment horizontal="centerContinuous" wrapText="1" readingOrder="1"/>
    </xf>
    <xf numFmtId="164" fontId="10" fillId="9" borderId="8" xfId="213" applyNumberFormat="1" applyFont="1" applyFill="1" applyBorder="1" applyAlignment="1">
      <alignment horizontal="centerContinuous" wrapText="1" readingOrder="1"/>
    </xf>
    <xf numFmtId="164" fontId="10" fillId="9" borderId="7" xfId="213" applyNumberFormat="1" applyFont="1" applyFill="1" applyBorder="1" applyAlignment="1">
      <alignment horizontal="center" wrapText="1" readingOrder="1"/>
    </xf>
    <xf numFmtId="0" fontId="5" fillId="0" borderId="0" xfId="213"/>
    <xf numFmtId="0" fontId="17" fillId="14" borderId="11" xfId="213" applyFont="1" applyFill="1" applyBorder="1"/>
    <xf numFmtId="0" fontId="17" fillId="14" borderId="12" xfId="213" applyFont="1" applyFill="1" applyBorder="1"/>
    <xf numFmtId="0" fontId="17" fillId="14" borderId="13" xfId="213" applyFont="1" applyFill="1" applyBorder="1"/>
    <xf numFmtId="164" fontId="10" fillId="8" borderId="7" xfId="213" applyNumberFormat="1" applyFont="1" applyFill="1" applyBorder="1" applyAlignment="1">
      <alignment horizontal="center" wrapText="1" readingOrder="1"/>
    </xf>
    <xf numFmtId="0" fontId="17" fillId="6" borderId="5" xfId="213" applyFont="1" applyFill="1" applyBorder="1"/>
    <xf numFmtId="2" fontId="5" fillId="10" borderId="0" xfId="213" applyNumberFormat="1" applyFill="1" applyAlignment="1">
      <alignment horizontal="center" readingOrder="1"/>
    </xf>
    <xf numFmtId="1" fontId="5" fillId="10" borderId="0" xfId="213" applyNumberFormat="1" applyFill="1" applyAlignment="1">
      <alignment horizontal="center" readingOrder="1"/>
    </xf>
    <xf numFmtId="0" fontId="5" fillId="0" borderId="0" xfId="213">
      <alignment readingOrder="1"/>
    </xf>
    <xf numFmtId="164" fontId="5" fillId="0" borderId="0" xfId="213" applyNumberFormat="1">
      <alignment readingOrder="1"/>
    </xf>
    <xf numFmtId="43" fontId="0" fillId="10" borderId="0" xfId="372" applyFont="1" applyFill="1" applyAlignment="1">
      <alignment horizontal="center" readingOrder="1"/>
    </xf>
    <xf numFmtId="1" fontId="5" fillId="0" borderId="0" xfId="213" applyNumberFormat="1"/>
    <xf numFmtId="9" fontId="0" fillId="0" borderId="0" xfId="8" applyFont="1">
      <alignment readingOrder="1"/>
    </xf>
    <xf numFmtId="0" fontId="0" fillId="14" borderId="0" xfId="0" applyFill="1">
      <alignment readingOrder="1"/>
    </xf>
    <xf numFmtId="0" fontId="0" fillId="14" borderId="0" xfId="0" applyFill="1" applyAlignment="1">
      <alignment vertical="center" wrapText="1" readingOrder="1"/>
    </xf>
    <xf numFmtId="164" fontId="0" fillId="12" borderId="0" xfId="0" applyNumberFormat="1" applyFill="1">
      <alignment readingOrder="1"/>
    </xf>
    <xf numFmtId="0" fontId="0" fillId="11"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0"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9" fontId="5" fillId="65" borderId="21" xfId="8" applyFill="1" applyBorder="1" applyAlignment="1">
      <alignment horizontal="center"/>
    </xf>
    <xf numFmtId="9" fontId="5" fillId="65" borderId="8" xfId="8" applyFill="1" applyBorder="1" applyAlignment="1">
      <alignment horizontal="center"/>
    </xf>
    <xf numFmtId="0" fontId="5" fillId="0" borderId="0" xfId="369" applyAlignment="1">
      <alignment horizontal="center"/>
    </xf>
    <xf numFmtId="0" fontId="11" fillId="0" borderId="2" xfId="369" applyFont="1" applyBorder="1" applyAlignment="1">
      <alignment horizontal="center"/>
    </xf>
  </cellXfs>
  <cellStyles count="535">
    <cellStyle name="20% - Accent1 2" xfId="37"/>
    <cellStyle name="20% - Accent1 2 2" xfId="38"/>
    <cellStyle name="20% - Accent1 3" xfId="39"/>
    <cellStyle name="20% - Accent1 3 2" xfId="373"/>
    <cellStyle name="20% - Accent1 4" xfId="374"/>
    <cellStyle name="20% - Accent1 4 2" xfId="375"/>
    <cellStyle name="20% - Accent1 5" xfId="376"/>
    <cellStyle name="20% - Accent2 2" xfId="40"/>
    <cellStyle name="20% - Accent2 2 2" xfId="377"/>
    <cellStyle name="20% - Accent2 3" xfId="41"/>
    <cellStyle name="20% - Accent2 3 2" xfId="378"/>
    <cellStyle name="20% - Accent2 4" xfId="379"/>
    <cellStyle name="20% - Accent2 4 2" xfId="380"/>
    <cellStyle name="20% - Accent2 5" xfId="381"/>
    <cellStyle name="20% - Accent3 2" xfId="42"/>
    <cellStyle name="20% - Accent3 2 2" xfId="43"/>
    <cellStyle name="20% - Accent3 3" xfId="44"/>
    <cellStyle name="20% - Accent3 3 2" xfId="382"/>
    <cellStyle name="20% - Accent3 4" xfId="383"/>
    <cellStyle name="20% - Accent3 4 2" xfId="384"/>
    <cellStyle name="20% - Accent3 5" xfId="385"/>
    <cellStyle name="20% - Accent4 2" xfId="45"/>
    <cellStyle name="20% - Accent4 2 2" xfId="46"/>
    <cellStyle name="20% - Accent4 3" xfId="47"/>
    <cellStyle name="20% - Accent4 3 2" xfId="386"/>
    <cellStyle name="20% - Accent4 4" xfId="387"/>
    <cellStyle name="20% - Accent4 4 2" xfId="388"/>
    <cellStyle name="20% - Accent4 5" xfId="389"/>
    <cellStyle name="20% - Accent5 2" xfId="48"/>
    <cellStyle name="20% - Accent5 2 2" xfId="390"/>
    <cellStyle name="20% - Accent5 3" xfId="49"/>
    <cellStyle name="20% - Accent5 3 2" xfId="391"/>
    <cellStyle name="20% - Accent5 4" xfId="392"/>
    <cellStyle name="20% - Accent5 4 2" xfId="393"/>
    <cellStyle name="20% - Accent5 5" xfId="394"/>
    <cellStyle name="20% - Accent6 2" xfId="50"/>
    <cellStyle name="20% - Accent6 2 2" xfId="395"/>
    <cellStyle name="20% - Accent6 3" xfId="51"/>
    <cellStyle name="20% - Accent6 3 2" xfId="396"/>
    <cellStyle name="20% - Accent6 4" xfId="397"/>
    <cellStyle name="20% - Accent6 4 2" xfId="398"/>
    <cellStyle name="20% - Accent6 5" xfId="399"/>
    <cellStyle name="40% - Accent1 2" xfId="52"/>
    <cellStyle name="40% - Accent1 2 2" xfId="53"/>
    <cellStyle name="40% - Accent1 3" xfId="54"/>
    <cellStyle name="40% - Accent1 3 2" xfId="400"/>
    <cellStyle name="40% - Accent1 4" xfId="401"/>
    <cellStyle name="40% - Accent1 4 2" xfId="402"/>
    <cellStyle name="40% - Accent1 5" xfId="403"/>
    <cellStyle name="40% - Accent2 2" xfId="55"/>
    <cellStyle name="40% - Accent2 2 2" xfId="56"/>
    <cellStyle name="40% - Accent2 3" xfId="57"/>
    <cellStyle name="40% - Accent2 3 2" xfId="404"/>
    <cellStyle name="40% - Accent2 4" xfId="405"/>
    <cellStyle name="40% - Accent2 4 2" xfId="406"/>
    <cellStyle name="40% - Accent2 5" xfId="407"/>
    <cellStyle name="40% - Accent3 2" xfId="58"/>
    <cellStyle name="40% - Accent3 2 2" xfId="59"/>
    <cellStyle name="40% - Accent3 3" xfId="60"/>
    <cellStyle name="40% - Accent3 3 2" xfId="408"/>
    <cellStyle name="40% - Accent3 4" xfId="409"/>
    <cellStyle name="40% - Accent3 4 2" xfId="410"/>
    <cellStyle name="40% - Accent3 5" xfId="411"/>
    <cellStyle name="40% - Accent4 2" xfId="61"/>
    <cellStyle name="40% - Accent4 2 2" xfId="62"/>
    <cellStyle name="40% - Accent4 3" xfId="63"/>
    <cellStyle name="40% - Accent4 3 2" xfId="412"/>
    <cellStyle name="40% - Accent4 4" xfId="413"/>
    <cellStyle name="40% - Accent4 4 2" xfId="414"/>
    <cellStyle name="40% - Accent4 5" xfId="415"/>
    <cellStyle name="40% - Accent5 2" xfId="64"/>
    <cellStyle name="40% - Accent5 2 2" xfId="416"/>
    <cellStyle name="40% - Accent5 3" xfId="65"/>
    <cellStyle name="40% - Accent5 3 2" xfId="417"/>
    <cellStyle name="40% - Accent5 4" xfId="418"/>
    <cellStyle name="40% - Accent5 4 2" xfId="419"/>
    <cellStyle name="40% - Accent5 5" xfId="420"/>
    <cellStyle name="40% - Accent6 2" xfId="66"/>
    <cellStyle name="40% - Accent6 2 2" xfId="67"/>
    <cellStyle name="40% - Accent6 3" xfId="68"/>
    <cellStyle name="40% - Accent6 3 2" xfId="421"/>
    <cellStyle name="40% - Accent6 4" xfId="422"/>
    <cellStyle name="40% - Accent6 4 2" xfId="423"/>
    <cellStyle name="40% - Accent6 5" xfId="424"/>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xfId="368" builtinId="3"/>
    <cellStyle name="Comma [0] 2" xfId="127"/>
    <cellStyle name="Comma 10" xfId="372"/>
    <cellStyle name="Comma 11" xfId="425"/>
    <cellStyle name="Comma 2" xfId="16"/>
    <cellStyle name="Comma 2 2" xfId="128"/>
    <cellStyle name="Comma 2 2 2" xfId="129"/>
    <cellStyle name="Comma 2 2 3" xfId="130"/>
    <cellStyle name="Comma 2 2 3 2" xfId="426"/>
    <cellStyle name="Comma 2 2 4" xfId="427"/>
    <cellStyle name="Comma 2 2 4 2" xfId="428"/>
    <cellStyle name="Comma 2 2 5" xfId="429"/>
    <cellStyle name="Comma 2 2 5 2" xfId="430"/>
    <cellStyle name="Comma 2 2 6" xfId="431"/>
    <cellStyle name="Comma 2 2 6 2" xfId="432"/>
    <cellStyle name="Comma 2 2 7" xfId="433"/>
    <cellStyle name="Comma 2 2 8" xfId="434"/>
    <cellStyle name="Comma 2 3" xfId="131"/>
    <cellStyle name="Comma 2 3 2" xfId="435"/>
    <cellStyle name="Comma 2 4" xfId="132"/>
    <cellStyle name="Comma 2 5" xfId="133"/>
    <cellStyle name="Comma 3" xfId="11"/>
    <cellStyle name="Comma 3 10" xfId="436"/>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7"/>
    <cellStyle name="Comma 3 5" xfId="438"/>
    <cellStyle name="Comma 3 5 2" xfId="439"/>
    <cellStyle name="Comma 3 6" xfId="440"/>
    <cellStyle name="Comma 3 6 2" xfId="441"/>
    <cellStyle name="Comma 3 7" xfId="442"/>
    <cellStyle name="Comma 3 8" xfId="443"/>
    <cellStyle name="Comma 3 9" xfId="444"/>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5"/>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6"/>
    <cellStyle name="Currency 4" xfId="19"/>
    <cellStyle name="Currency 4 2" xfId="447"/>
    <cellStyle name="Currency 4 3" xfId="448"/>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49"/>
    <cellStyle name="Data Name" xfId="5"/>
    <cellStyle name="Data Name 2" xfId="20"/>
    <cellStyle name="Data Name 2 2" xfId="450"/>
    <cellStyle name="Data Name 3" xfId="451"/>
    <cellStyle name="Data Name 4" xfId="452"/>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2" xfId="23"/>
    <cellStyle name="Hyperlink 2 2" xfId="24"/>
    <cellStyle name="Hyperlink 2 2 2" xfId="193"/>
    <cellStyle name="Hyperlink 2 3" xfId="453"/>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4"/>
    <cellStyle name="Normal 12" xfId="212"/>
    <cellStyle name="Normal 12 2" xfId="455"/>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6"/>
    <cellStyle name="Normal 15" xfId="222"/>
    <cellStyle name="Normal 15 2" xfId="223"/>
    <cellStyle name="Normal 15 2 2" xfId="224"/>
    <cellStyle name="Normal 15 3" xfId="225"/>
    <cellStyle name="Normal 15 4" xfId="226"/>
    <cellStyle name="Normal 15 5" xfId="457"/>
    <cellStyle name="Normal 16" xfId="227"/>
    <cellStyle name="Normal 16 2" xfId="228"/>
    <cellStyle name="Normal 16 3" xfId="229"/>
    <cellStyle name="Normal 16 4" xfId="458"/>
    <cellStyle name="Normal 17" xfId="230"/>
    <cellStyle name="Normal 17 2" xfId="231"/>
    <cellStyle name="Normal 18" xfId="232"/>
    <cellStyle name="Normal 19" xfId="233"/>
    <cellStyle name="Normal 2" xfId="9"/>
    <cellStyle name="Normal 2 10" xfId="459"/>
    <cellStyle name="Normal 2 11" xfId="460"/>
    <cellStyle name="Normal 2 12" xfId="461"/>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2"/>
    <cellStyle name="Normal 2 2 5" xfId="463"/>
    <cellStyle name="Normal 2 2 6" xfId="464"/>
    <cellStyle name="Normal 2 3" xfId="25"/>
    <cellStyle name="Normal 2 3 2" xfId="241"/>
    <cellStyle name="Normal 2 3 2 2" xfId="242"/>
    <cellStyle name="Normal 2 3 2 2 2" xfId="243"/>
    <cellStyle name="Normal 2 3 2 3" xfId="465"/>
    <cellStyle name="Normal 2 3 3" xfId="244"/>
    <cellStyle name="Normal 2 3 3 2" xfId="245"/>
    <cellStyle name="Normal 2 3 4" xfId="466"/>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7"/>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8"/>
    <cellStyle name="Normal 2 9" xfId="268"/>
    <cellStyle name="Normal 2 9 2" xfId="469"/>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70"/>
    <cellStyle name="Normal 3 5" xfId="471"/>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2"/>
    <cellStyle name="Normal 4 3" xfId="296"/>
    <cellStyle name="Normal 4 3 2" xfId="297"/>
    <cellStyle name="Normal 4 3 2 2" xfId="298"/>
    <cellStyle name="Normal 4 3 2 3" xfId="299"/>
    <cellStyle name="Normal 4 3 3" xfId="300"/>
    <cellStyle name="Normal 4 3 4" xfId="473"/>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4"/>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5"/>
    <cellStyle name="Normal 5 3" xfId="476"/>
    <cellStyle name="Normal 5 3 2" xfId="477"/>
    <cellStyle name="Normal 5 4" xfId="478"/>
    <cellStyle name="Normal 5 4 2" xfId="479"/>
    <cellStyle name="Normal 5 5" xfId="480"/>
    <cellStyle name="Normal 5 5 2" xfId="481"/>
    <cellStyle name="Normal 5 6" xfId="482"/>
    <cellStyle name="Normal 5 6 2" xfId="483"/>
    <cellStyle name="Normal 5 7" xfId="484"/>
    <cellStyle name="Normal 50" xfId="322"/>
    <cellStyle name="Normal 51" xfId="485"/>
    <cellStyle name="Normal 6" xfId="323"/>
    <cellStyle name="Normal 6 2" xfId="486"/>
    <cellStyle name="Normal 6 3" xfId="487"/>
    <cellStyle name="Normal 6 4" xfId="488"/>
    <cellStyle name="Normal 6 5" xfId="489"/>
    <cellStyle name="Normal 7" xfId="324"/>
    <cellStyle name="Normal 7 2" xfId="325"/>
    <cellStyle name="Normal 7 2 2" xfId="490"/>
    <cellStyle name="Normal 7 3" xfId="491"/>
    <cellStyle name="Normal 8" xfId="326"/>
    <cellStyle name="Normal 8 2" xfId="327"/>
    <cellStyle name="Normal 8 2 2" xfId="492"/>
    <cellStyle name="Normal 8 3" xfId="493"/>
    <cellStyle name="Normal 9" xfId="328"/>
    <cellStyle name="Normal 9 2" xfId="329"/>
    <cellStyle name="Normal 9 3" xfId="330"/>
    <cellStyle name="Normal_IrrgAgSupply" xfId="369"/>
    <cellStyle name="Normal_MTDUCT" xfId="2"/>
    <cellStyle name="Normal_MTRESAPPLPOT" xfId="36"/>
    <cellStyle name="Normal_PC-LPDPackage-6P-D14" xfId="35"/>
    <cellStyle name="Normal_ProCostFinAssumptions_Sector" xfId="3"/>
    <cellStyle name="Normal_ResDHW_2_0gpmShowerheads_FY07v1_0" xfId="15"/>
    <cellStyle name="Normal_Sheet1" xfId="370"/>
    <cellStyle name="Normal_Sheet2" xfId="371"/>
    <cellStyle name="Note 2" xfId="29"/>
    <cellStyle name="Note 2 2" xfId="331"/>
    <cellStyle name="Note 2 2 2" xfId="494"/>
    <cellStyle name="Note 2 3" xfId="495"/>
    <cellStyle name="Note 2 3 2" xfId="496"/>
    <cellStyle name="Note 2 4" xfId="497"/>
    <cellStyle name="Note 2 4 2" xfId="498"/>
    <cellStyle name="Note 2 5" xfId="499"/>
    <cellStyle name="Note 3" xfId="30"/>
    <cellStyle name="Output 2" xfId="332"/>
    <cellStyle name="Output 2 2" xfId="333"/>
    <cellStyle name="Output 3" xfId="334"/>
    <cellStyle name="Percent" xfId="8" builtinId="5"/>
    <cellStyle name="Percent 2" xfId="31"/>
    <cellStyle name="Percent 2 10" xfId="500"/>
    <cellStyle name="Percent 2 2" xfId="32"/>
    <cellStyle name="Percent 2 2 2" xfId="335"/>
    <cellStyle name="Percent 2 2 2 2" xfId="336"/>
    <cellStyle name="Percent 2 2 2 2 2" xfId="501"/>
    <cellStyle name="Percent 2 2 2 3" xfId="337"/>
    <cellStyle name="Percent 2 2 3" xfId="338"/>
    <cellStyle name="Percent 2 2 4" xfId="339"/>
    <cellStyle name="Percent 2 3" xfId="340"/>
    <cellStyle name="Percent 2 3 2" xfId="341"/>
    <cellStyle name="Percent 2 3 2 2" xfId="502"/>
    <cellStyle name="Percent 2 3 2 2 2" xfId="503"/>
    <cellStyle name="Percent 2 3 2 3" xfId="504"/>
    <cellStyle name="Percent 2 3 2 3 2" xfId="505"/>
    <cellStyle name="Percent 2 3 2 4" xfId="506"/>
    <cellStyle name="Percent 2 3 2 4 2" xfId="507"/>
    <cellStyle name="Percent 2 3 2 5" xfId="508"/>
    <cellStyle name="Percent 2 3 2 6" xfId="509"/>
    <cellStyle name="Percent 2 3 3" xfId="342"/>
    <cellStyle name="Percent 2 4" xfId="510"/>
    <cellStyle name="Percent 2 4 2" xfId="511"/>
    <cellStyle name="Percent 2 4 3" xfId="512"/>
    <cellStyle name="Percent 2 5" xfId="513"/>
    <cellStyle name="Percent 2 5 2" xfId="514"/>
    <cellStyle name="Percent 2 6" xfId="515"/>
    <cellStyle name="Percent 2 6 2" xfId="516"/>
    <cellStyle name="Percent 2 7" xfId="517"/>
    <cellStyle name="Percent 2 7 2" xfId="518"/>
    <cellStyle name="Percent 2 8" xfId="519"/>
    <cellStyle name="Percent 2 9" xfId="520"/>
    <cellStyle name="Percent 3" xfId="10"/>
    <cellStyle name="Percent 3 2" xfId="343"/>
    <cellStyle name="Percent 3 2 2" xfId="344"/>
    <cellStyle name="Percent 3 2 2 2" xfId="521"/>
    <cellStyle name="Percent 3 2 3" xfId="345"/>
    <cellStyle name="Percent 3 2 3 2" xfId="522"/>
    <cellStyle name="Percent 3 2 4" xfId="523"/>
    <cellStyle name="Percent 3 2 4 2" xfId="524"/>
    <cellStyle name="Percent 3 2 5" xfId="525"/>
    <cellStyle name="Percent 3 2 5 2" xfId="526"/>
    <cellStyle name="Percent 3 2 6" xfId="527"/>
    <cellStyle name="Percent 3 2 7" xfId="528"/>
    <cellStyle name="Percent 3 2 8" xfId="529"/>
    <cellStyle name="Percent 3 3" xfId="346"/>
    <cellStyle name="Percent 3 4" xfId="347"/>
    <cellStyle name="Percent 3 5" xfId="530"/>
    <cellStyle name="Percent 4" xfId="348"/>
    <cellStyle name="Percent 4 2" xfId="349"/>
    <cellStyle name="Percent 4 2 2" xfId="531"/>
    <cellStyle name="Percent 4 3" xfId="532"/>
    <cellStyle name="Percent 5" xfId="350"/>
    <cellStyle name="Percent 5 2" xfId="533"/>
    <cellStyle name="Percent 6" xfId="351"/>
    <cellStyle name="Percent 6 2" xfId="352"/>
    <cellStyle name="Percent 7" xfId="353"/>
    <cellStyle name="Percent 8" xfId="354"/>
    <cellStyle name="Percent 9" xfId="534"/>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Pop Forecast (High Case)"/>
      <sheetName val="Pop Forecast (Low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row r="26">
          <cell r="C26" t="str">
            <v>Idaho</v>
          </cell>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v>0</v>
          </cell>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v>0</v>
          </cell>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v>0</v>
          </cell>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v>0</v>
          </cell>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sheetData>
      <sheetData sheetId="14"/>
      <sheetData sheetId="15"/>
      <sheetData sheetId="16"/>
      <sheetData sheetId="17"/>
      <sheetData sheetId="18"/>
      <sheetData sheetId="19">
        <row r="157">
          <cell r="C157">
            <v>13431</v>
          </cell>
        </row>
      </sheetData>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row r="10">
          <cell r="C10" t="str">
            <v>Idaho</v>
          </cell>
          <cell r="D10" t="str">
            <v>Montana</v>
          </cell>
          <cell r="E10" t="str">
            <v>Oregon</v>
          </cell>
          <cell r="F10" t="str">
            <v>Washington</v>
          </cell>
        </row>
        <row r="11">
          <cell r="B11" t="str">
            <v>Acres w Sprinklers</v>
          </cell>
          <cell r="C11">
            <v>3088161</v>
          </cell>
          <cell r="D11">
            <v>153442.8128463247</v>
          </cell>
          <cell r="E11">
            <v>1141042</v>
          </cell>
          <cell r="F11">
            <v>1420224</v>
          </cell>
        </row>
        <row r="12">
          <cell r="B12" t="str">
            <v>CenterPivot</v>
          </cell>
          <cell r="C12">
            <v>2229589</v>
          </cell>
          <cell r="D12">
            <v>107601.03811364993</v>
          </cell>
          <cell r="E12">
            <v>543142</v>
          </cell>
          <cell r="F12">
            <v>990074</v>
          </cell>
        </row>
        <row r="13">
          <cell r="B13" t="str">
            <v>CenterPivot High P</v>
          </cell>
          <cell r="C13">
            <v>230707</v>
          </cell>
          <cell r="D13">
            <v>10521.809398644995</v>
          </cell>
          <cell r="E13">
            <v>73681</v>
          </cell>
          <cell r="F13">
            <v>114933</v>
          </cell>
        </row>
        <row r="14">
          <cell r="B14" t="str">
            <v>CenterPivot Med P</v>
          </cell>
          <cell r="C14">
            <v>1285602</v>
          </cell>
          <cell r="D14">
            <v>55997.38035983876</v>
          </cell>
          <cell r="E14">
            <v>267691</v>
          </cell>
          <cell r="F14">
            <v>426619</v>
          </cell>
        </row>
        <row r="15">
          <cell r="B15" t="str">
            <v>Acres Center Pivot</v>
          </cell>
          <cell r="C15">
            <v>2229589</v>
          </cell>
          <cell r="D15">
            <v>107601.03811364993</v>
          </cell>
          <cell r="E15">
            <v>543142</v>
          </cell>
          <cell r="F15">
            <v>990074</v>
          </cell>
        </row>
        <row r="16">
          <cell r="B16" t="str">
            <v>Wheel/hand line</v>
          </cell>
          <cell r="C16">
            <v>589417</v>
          </cell>
          <cell r="D16">
            <v>33761.024858396049</v>
          </cell>
          <cell r="E16">
            <v>373405</v>
          </cell>
          <cell r="F16">
            <v>167947</v>
          </cell>
        </row>
        <row r="17">
          <cell r="B17" t="str">
            <v>Wheel line</v>
          </cell>
          <cell r="C17">
            <v>124792</v>
          </cell>
          <cell r="D17">
            <v>2541.3855221624167</v>
          </cell>
          <cell r="E17">
            <v>60204</v>
          </cell>
          <cell r="F17">
            <v>19620</v>
          </cell>
        </row>
        <row r="18">
          <cell r="B18" t="str">
            <v>Alfalfa Wheel line</v>
          </cell>
          <cell r="C18">
            <v>547765.83639704715</v>
          </cell>
          <cell r="D18">
            <v>48863.187593415983</v>
          </cell>
          <cell r="E18">
            <v>192608.28800850257</v>
          </cell>
          <cell r="F18">
            <v>202062.53498854444</v>
          </cell>
        </row>
        <row r="19">
          <cell r="B19" t="str">
            <v>Alfalfa Hand line</v>
          </cell>
          <cell r="C19">
            <v>185549.16360295285</v>
          </cell>
          <cell r="D19">
            <v>11705.326375703606</v>
          </cell>
          <cell r="E19">
            <v>62673.711991497425</v>
          </cell>
          <cell r="F19">
            <v>55251.465011455555</v>
          </cell>
        </row>
        <row r="20">
          <cell r="B20" t="str">
            <v>Pumped Acres</v>
          </cell>
          <cell r="C20">
            <v>1437386</v>
          </cell>
          <cell r="D20">
            <v>9908.0974047027375</v>
          </cell>
          <cell r="E20">
            <v>511998</v>
          </cell>
          <cell r="F20">
            <v>522575</v>
          </cell>
        </row>
        <row r="21">
          <cell r="B21" t="str">
            <v>Center Pivot, LEPA crops</v>
          </cell>
          <cell r="C21">
            <v>598158</v>
          </cell>
          <cell r="D21">
            <v>7796.5090075296148</v>
          </cell>
          <cell r="E21">
            <v>124214</v>
          </cell>
          <cell r="F21">
            <v>345808</v>
          </cell>
        </row>
        <row r="22">
          <cell r="B22" t="str">
            <v>Center Pivot, SIS crops</v>
          </cell>
        </row>
      </sheetData>
      <sheetData sheetId="12">
        <row r="9">
          <cell r="I9">
            <v>1.9</v>
          </cell>
        </row>
        <row r="10">
          <cell r="I10">
            <v>1.4</v>
          </cell>
        </row>
        <row r="11">
          <cell r="I11">
            <v>2.4</v>
          </cell>
        </row>
        <row r="12">
          <cell r="I12">
            <v>2.2999999999999998</v>
          </cell>
        </row>
      </sheetData>
      <sheetData sheetId="13"/>
      <sheetData sheetId="14">
        <row r="33">
          <cell r="B33">
            <v>7334</v>
          </cell>
          <cell r="C33">
            <v>24145</v>
          </cell>
          <cell r="D33">
            <v>2987983</v>
          </cell>
          <cell r="F33">
            <v>180959</v>
          </cell>
          <cell r="G33">
            <v>60.562258888353782</v>
          </cell>
          <cell r="H33">
            <v>277.23973289112047</v>
          </cell>
          <cell r="I33">
            <v>1.6</v>
          </cell>
          <cell r="J33">
            <v>812.79580912147605</v>
          </cell>
          <cell r="K33">
            <v>507.99738070092252</v>
          </cell>
        </row>
        <row r="34">
          <cell r="B34">
            <v>3427</v>
          </cell>
          <cell r="C34">
            <v>8031</v>
          </cell>
          <cell r="D34">
            <v>1063620</v>
          </cell>
          <cell r="F34">
            <v>19138</v>
          </cell>
          <cell r="G34">
            <v>17.993268272503339</v>
          </cell>
          <cell r="H34">
            <v>151.24411131189621</v>
          </cell>
          <cell r="I34">
            <v>1.1000000000000001</v>
          </cell>
          <cell r="J34">
            <v>1245.6501523967308</v>
          </cell>
          <cell r="K34">
            <v>1132.4092294515733</v>
          </cell>
        </row>
        <row r="35">
          <cell r="B35">
            <v>8329</v>
          </cell>
          <cell r="C35">
            <v>20122</v>
          </cell>
          <cell r="D35">
            <v>1234379</v>
          </cell>
          <cell r="F35">
            <v>53003</v>
          </cell>
          <cell r="G35">
            <v>42.939000096404747</v>
          </cell>
          <cell r="H35">
            <v>288.38150505266827</v>
          </cell>
          <cell r="I35">
            <v>1.5</v>
          </cell>
          <cell r="J35">
            <v>2046.5529503186413</v>
          </cell>
          <cell r="K35">
            <v>1364.3686335457608</v>
          </cell>
        </row>
        <row r="36">
          <cell r="B36">
            <v>7727</v>
          </cell>
          <cell r="C36">
            <v>17898</v>
          </cell>
          <cell r="D36">
            <v>1440109</v>
          </cell>
          <cell r="F36">
            <v>93964</v>
          </cell>
          <cell r="G36">
            <v>65.247838878862638</v>
          </cell>
          <cell r="H36">
            <v>22.963835045243886</v>
          </cell>
          <cell r="I36">
            <v>2</v>
          </cell>
          <cell r="J36">
            <v>139.68608973094149</v>
          </cell>
          <cell r="K36">
            <v>69.843044865470745</v>
          </cell>
        </row>
      </sheetData>
      <sheetData sheetId="15">
        <row r="33">
          <cell r="B33">
            <v>3073</v>
          </cell>
          <cell r="C33">
            <v>9141</v>
          </cell>
          <cell r="D33">
            <v>297</v>
          </cell>
          <cell r="E33">
            <v>149</v>
          </cell>
          <cell r="F33">
            <v>201</v>
          </cell>
          <cell r="G33">
            <v>1241</v>
          </cell>
          <cell r="H33">
            <v>62</v>
          </cell>
          <cell r="I33">
            <v>181</v>
          </cell>
          <cell r="J33">
            <v>1208</v>
          </cell>
          <cell r="K33">
            <v>0.3496672022033509</v>
          </cell>
        </row>
        <row r="34">
          <cell r="B34">
            <v>1051</v>
          </cell>
          <cell r="C34">
            <v>1629</v>
          </cell>
          <cell r="D34">
            <v>137</v>
          </cell>
          <cell r="E34">
            <v>43</v>
          </cell>
          <cell r="F34">
            <v>88</v>
          </cell>
          <cell r="G34">
            <v>254</v>
          </cell>
          <cell r="H34">
            <v>62</v>
          </cell>
          <cell r="I34">
            <v>53</v>
          </cell>
          <cell r="J34">
            <v>419</v>
          </cell>
          <cell r="K34">
            <v>6.2313518476015607E-2</v>
          </cell>
        </row>
        <row r="35">
          <cell r="B35">
            <v>4744</v>
          </cell>
          <cell r="C35">
            <v>8601</v>
          </cell>
          <cell r="D35">
            <v>202</v>
          </cell>
          <cell r="E35">
            <v>71</v>
          </cell>
          <cell r="F35">
            <v>119</v>
          </cell>
          <cell r="G35">
            <v>380</v>
          </cell>
          <cell r="H35">
            <v>63</v>
          </cell>
          <cell r="I35">
            <v>56</v>
          </cell>
          <cell r="J35">
            <v>732</v>
          </cell>
          <cell r="K35">
            <v>0.32901078723892585</v>
          </cell>
        </row>
        <row r="36">
          <cell r="B36">
            <v>4176</v>
          </cell>
          <cell r="C36">
            <v>6771</v>
          </cell>
          <cell r="D36">
            <v>291</v>
          </cell>
          <cell r="E36">
            <v>110</v>
          </cell>
          <cell r="F36">
            <v>175</v>
          </cell>
          <cell r="G36">
            <v>483</v>
          </cell>
          <cell r="H36">
            <v>64</v>
          </cell>
          <cell r="I36">
            <v>110</v>
          </cell>
          <cell r="J36">
            <v>1117</v>
          </cell>
          <cell r="K36">
            <v>0.25900849208170762</v>
          </cell>
        </row>
      </sheetData>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D12" sqref="D12"/>
    </sheetView>
  </sheetViews>
  <sheetFormatPr defaultRowHeight="15"/>
  <cols>
    <col min="1" max="1" width="4" style="78" customWidth="1"/>
    <col min="2" max="2" width="4.28515625" style="78" customWidth="1"/>
    <col min="3" max="3" width="28.140625" style="78" customWidth="1"/>
    <col min="4" max="4" width="74.42578125" style="78" customWidth="1"/>
    <col min="5" max="5" width="44.7109375" style="78" customWidth="1"/>
    <col min="6" max="6" width="31.5703125" style="78" customWidth="1"/>
    <col min="7" max="16384" width="9.140625" style="78"/>
  </cols>
  <sheetData>
    <row r="1" spans="3:6" ht="15.75" thickBot="1"/>
    <row r="2" spans="3:6" ht="19.5" thickBot="1">
      <c r="C2" s="79" t="s">
        <v>109</v>
      </c>
      <c r="D2" s="80" t="s">
        <v>650</v>
      </c>
      <c r="E2" s="80"/>
      <c r="F2" s="81"/>
    </row>
    <row r="3" spans="3:6">
      <c r="C3" s="82" t="s">
        <v>110</v>
      </c>
      <c r="D3" s="82" t="s">
        <v>647</v>
      </c>
      <c r="E3" s="82" t="s">
        <v>648</v>
      </c>
      <c r="F3" s="82" t="s">
        <v>649</v>
      </c>
    </row>
    <row r="4" spans="3:6" ht="30">
      <c r="C4" s="83" t="s">
        <v>111</v>
      </c>
      <c r="D4" s="84" t="s">
        <v>656</v>
      </c>
      <c r="E4" s="85"/>
      <c r="F4" s="86" t="s">
        <v>651</v>
      </c>
    </row>
    <row r="5" spans="3:6" ht="30">
      <c r="C5" s="83" t="s">
        <v>112</v>
      </c>
      <c r="D5" s="87" t="s">
        <v>652</v>
      </c>
      <c r="E5" s="85"/>
      <c r="F5" s="86" t="s">
        <v>651</v>
      </c>
    </row>
    <row r="6" spans="3:6">
      <c r="C6" s="83" t="s">
        <v>113</v>
      </c>
      <c r="D6" s="87" t="s">
        <v>657</v>
      </c>
      <c r="E6" s="87" t="s">
        <v>653</v>
      </c>
      <c r="F6" s="86" t="s">
        <v>654</v>
      </c>
    </row>
    <row r="7" spans="3:6">
      <c r="C7" s="83" t="s">
        <v>114</v>
      </c>
      <c r="D7" s="87" t="s">
        <v>657</v>
      </c>
      <c r="E7" s="87" t="s">
        <v>653</v>
      </c>
      <c r="F7" s="86" t="s">
        <v>654</v>
      </c>
    </row>
    <row r="8" spans="3:6">
      <c r="C8" s="83" t="s">
        <v>115</v>
      </c>
      <c r="D8" s="87" t="s">
        <v>655</v>
      </c>
      <c r="E8" s="88"/>
      <c r="F8" s="86"/>
    </row>
    <row r="9" spans="3:6">
      <c r="C9" s="83" t="s">
        <v>116</v>
      </c>
      <c r="D9" s="87" t="s">
        <v>658</v>
      </c>
      <c r="E9" s="88"/>
      <c r="F9" s="86" t="s">
        <v>651</v>
      </c>
    </row>
    <row r="10" spans="3:6">
      <c r="C10" s="83" t="s">
        <v>117</v>
      </c>
      <c r="D10" s="87" t="s">
        <v>659</v>
      </c>
      <c r="E10" s="87"/>
      <c r="F10" s="86" t="s">
        <v>651</v>
      </c>
    </row>
    <row r="11" spans="3:6">
      <c r="C11" s="83" t="s">
        <v>118</v>
      </c>
      <c r="D11" s="89" t="s">
        <v>660</v>
      </c>
      <c r="E11" s="88" t="s">
        <v>661</v>
      </c>
      <c r="F11" s="86" t="s">
        <v>651</v>
      </c>
    </row>
    <row r="12" spans="3:6">
      <c r="C12" s="83" t="s">
        <v>119</v>
      </c>
      <c r="D12" s="89" t="s">
        <v>153</v>
      </c>
      <c r="E12" s="88" t="s">
        <v>662</v>
      </c>
      <c r="F12" s="86" t="s">
        <v>651</v>
      </c>
    </row>
    <row r="13" spans="3:6" ht="30">
      <c r="C13" s="83" t="s">
        <v>120</v>
      </c>
      <c r="D13" s="89" t="s">
        <v>663</v>
      </c>
      <c r="E13" s="88" t="s">
        <v>664</v>
      </c>
      <c r="F13" s="86" t="s">
        <v>665</v>
      </c>
    </row>
    <row r="21" spans="3:3">
      <c r="C21" s="90"/>
    </row>
    <row r="22" spans="3:3">
      <c r="C22" s="90"/>
    </row>
    <row r="23" spans="3:3">
      <c r="C23" s="90"/>
    </row>
    <row r="24" spans="3:3">
      <c r="C24" s="90"/>
    </row>
    <row r="25" spans="3:3">
      <c r="C25" s="90"/>
    </row>
    <row r="26" spans="3:3">
      <c r="C26" s="90"/>
    </row>
    <row r="27" spans="3:3">
      <c r="C27" s="9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tabColor rgb="FFFFFF00"/>
  </sheetPr>
  <dimension ref="A1:G30"/>
  <sheetViews>
    <sheetView workbookViewId="0">
      <selection activeCell="M8" sqref="M8"/>
    </sheetView>
  </sheetViews>
  <sheetFormatPr defaultRowHeight="12.75"/>
  <cols>
    <col min="1" max="1" width="35.28515625" customWidth="1"/>
    <col min="2" max="2" width="11.5703125" customWidth="1"/>
    <col min="3" max="3" width="11.7109375" bestFit="1" customWidth="1"/>
    <col min="4" max="4" width="16" customWidth="1"/>
    <col min="5" max="6" width="11.7109375" bestFit="1" customWidth="1"/>
  </cols>
  <sheetData>
    <row r="1" spans="1:7">
      <c r="A1" s="129" t="s">
        <v>475</v>
      </c>
      <c r="B1" s="130"/>
      <c r="C1" s="130"/>
      <c r="D1" s="130"/>
      <c r="E1" s="130"/>
      <c r="F1" s="130"/>
      <c r="G1" s="130"/>
    </row>
    <row r="2" spans="1:7">
      <c r="A2" s="130"/>
      <c r="B2" s="321" t="s">
        <v>152</v>
      </c>
      <c r="C2" s="321"/>
      <c r="D2" s="321"/>
      <c r="E2" s="321"/>
      <c r="F2" s="129"/>
      <c r="G2" s="130"/>
    </row>
    <row r="3" spans="1:7">
      <c r="A3" s="129" t="s">
        <v>476</v>
      </c>
      <c r="B3" s="233" t="s">
        <v>134</v>
      </c>
      <c r="C3" s="234" t="s">
        <v>130</v>
      </c>
      <c r="D3" s="234" t="s">
        <v>135</v>
      </c>
      <c r="E3" s="234" t="s">
        <v>136</v>
      </c>
      <c r="F3" s="234"/>
      <c r="G3" s="139"/>
    </row>
    <row r="4" spans="1:7">
      <c r="A4" s="235" t="s">
        <v>489</v>
      </c>
      <c r="B4" s="219"/>
      <c r="C4" s="219"/>
      <c r="D4" s="219"/>
      <c r="E4" s="219"/>
      <c r="F4" s="219"/>
      <c r="G4" s="130"/>
    </row>
    <row r="5" spans="1:7">
      <c r="A5" s="236" t="s">
        <v>477</v>
      </c>
      <c r="B5" s="152">
        <f>'[2]Energy Expense'!$B$33</f>
        <v>7334</v>
      </c>
      <c r="C5" s="152">
        <f>'[2]Energy Expense'!$B$34</f>
        <v>3427</v>
      </c>
      <c r="D5" s="152">
        <f>'[2]Energy Expense'!$B$35</f>
        <v>8329</v>
      </c>
      <c r="E5" s="152">
        <f>'[2]Energy Expense'!$B$36</f>
        <v>7727</v>
      </c>
      <c r="F5" s="152"/>
      <c r="G5" s="130"/>
    </row>
    <row r="6" spans="1:7">
      <c r="A6" s="237" t="s">
        <v>478</v>
      </c>
      <c r="B6" s="152">
        <f>'[2]Energy Expense'!$C$33</f>
        <v>24145</v>
      </c>
      <c r="C6" s="152">
        <f>'[2]Energy Expense'!$C$34</f>
        <v>8031</v>
      </c>
      <c r="D6" s="152">
        <f>'[2]Energy Expense'!$C$35</f>
        <v>20122</v>
      </c>
      <c r="E6" s="152">
        <f>'[2]Energy Expense'!$C$36</f>
        <v>17898</v>
      </c>
      <c r="F6" s="152"/>
      <c r="G6" s="130"/>
    </row>
    <row r="7" spans="1:7">
      <c r="A7" s="236" t="s">
        <v>479</v>
      </c>
      <c r="B7" s="152">
        <f>'[2]Energy Expense'!$D$33</f>
        <v>2987983</v>
      </c>
      <c r="C7" s="152">
        <f>'[2]Energy Expense'!$D$34</f>
        <v>1063620</v>
      </c>
      <c r="D7" s="152">
        <f>'[2]Energy Expense'!$D$35</f>
        <v>1234379</v>
      </c>
      <c r="E7" s="152">
        <f>'[2]Energy Expense'!$D$36</f>
        <v>1440109</v>
      </c>
      <c r="F7" s="152"/>
      <c r="G7" s="130"/>
    </row>
    <row r="8" spans="1:7">
      <c r="A8" s="236" t="s">
        <v>480</v>
      </c>
      <c r="B8" s="152">
        <f>B7/B5</f>
        <v>407.41518952822469</v>
      </c>
      <c r="C8" s="152">
        <f>C7/C5</f>
        <v>310.36475051065071</v>
      </c>
      <c r="D8" s="152">
        <f>D7/D5</f>
        <v>148.20254532356824</v>
      </c>
      <c r="E8" s="152">
        <f>E7/E5</f>
        <v>186.37362495146888</v>
      </c>
      <c r="F8" s="152"/>
      <c r="G8" s="130"/>
    </row>
    <row r="9" spans="1:7">
      <c r="A9" s="237" t="s">
        <v>481</v>
      </c>
      <c r="B9" s="152">
        <f>B7/B6</f>
        <v>123.75162559536136</v>
      </c>
      <c r="C9" s="152">
        <f>C7/C6</f>
        <v>132.43929772132984</v>
      </c>
      <c r="D9" s="152">
        <f>D7/D6</f>
        <v>61.344747043037472</v>
      </c>
      <c r="E9" s="152">
        <f>E7/E6</f>
        <v>80.462006928148398</v>
      </c>
      <c r="F9" s="152"/>
      <c r="G9" s="130"/>
    </row>
    <row r="10" spans="1:7">
      <c r="A10" s="236" t="s">
        <v>482</v>
      </c>
      <c r="B10" s="207">
        <f>('[2]Energy Expense'!$F$33/'[2]Energy Expense'!$B$33)*1000</f>
        <v>24673.984183256067</v>
      </c>
      <c r="C10" s="207">
        <f>('[2]Energy Expense'!$F$34/'[2]Energy Expense'!$B$34)*1000</f>
        <v>5584.4762182667055</v>
      </c>
      <c r="D10" s="207">
        <f>('[2]Energy Expense'!$F$35/'[2]Energy Expense'!$B$35)*1000</f>
        <v>6363.6691079361262</v>
      </c>
      <c r="E10" s="207">
        <f>('[2]Energy Expense'!$F$36/'[2]Energy Expense'!$B$36)*1000</f>
        <v>12160.476252103015</v>
      </c>
      <c r="F10" s="207"/>
      <c r="G10" s="130"/>
    </row>
    <row r="11" spans="1:7">
      <c r="A11" s="238" t="s">
        <v>483</v>
      </c>
      <c r="B11" s="239">
        <f>'[2]Energy Expense'!$G$33</f>
        <v>60.562258888353782</v>
      </c>
      <c r="C11" s="239">
        <f>'[2]Energy Expense'!$G$34</f>
        <v>17.993268272503339</v>
      </c>
      <c r="D11" s="239">
        <f>'[2]Energy Expense'!$G$35</f>
        <v>42.939000096404747</v>
      </c>
      <c r="E11" s="239">
        <f>'[2]Energy Expense'!$G$36</f>
        <v>65.247838878862638</v>
      </c>
      <c r="F11" s="239"/>
      <c r="G11" s="130"/>
    </row>
    <row r="12" spans="1:7">
      <c r="A12" s="238" t="s">
        <v>484</v>
      </c>
      <c r="B12" s="207">
        <f>(B5*B10)/B6</f>
        <v>7494.6779871609033</v>
      </c>
      <c r="C12" s="207">
        <f>(C5*C10)/C6</f>
        <v>2383.0158137218277</v>
      </c>
      <c r="D12" s="207">
        <f>(D5*D10)/D6</f>
        <v>2634.0820991949108</v>
      </c>
      <c r="E12" s="207">
        <f>(E5*E10)/E6</f>
        <v>5249.9720639177558</v>
      </c>
      <c r="F12" s="207"/>
      <c r="G12" s="130"/>
    </row>
    <row r="13" spans="1:7">
      <c r="A13" s="238" t="s">
        <v>485</v>
      </c>
      <c r="B13" s="240">
        <f>'[2]Energy Expense'!$I$33</f>
        <v>1.6</v>
      </c>
      <c r="C13" s="240">
        <f>'[2]Energy Expense'!$I$34</f>
        <v>1.1000000000000001</v>
      </c>
      <c r="D13" s="240">
        <f>'[2]Energy Expense'!$I$35</f>
        <v>1.5</v>
      </c>
      <c r="E13" s="240">
        <f>'[2]Energy Expense'!$I$36</f>
        <v>2</v>
      </c>
      <c r="F13" s="240"/>
      <c r="G13" s="130"/>
    </row>
    <row r="14" spans="1:7">
      <c r="A14" s="238" t="s">
        <v>486</v>
      </c>
      <c r="B14" s="241">
        <f>'[2]Energy Expense'!$J$33</f>
        <v>812.79580912147605</v>
      </c>
      <c r="C14" s="241">
        <f>'[2]Energy Expense'!$J$34</f>
        <v>1245.6501523967308</v>
      </c>
      <c r="D14" s="241">
        <f>'[2]Energy Expense'!$J$35</f>
        <v>2046.5529503186413</v>
      </c>
      <c r="E14" s="241">
        <f>'[2]Energy Expense'!$J$36</f>
        <v>139.68608973094149</v>
      </c>
      <c r="F14" s="241"/>
      <c r="G14" s="130"/>
    </row>
    <row r="15" spans="1:7">
      <c r="A15" s="238" t="s">
        <v>487</v>
      </c>
      <c r="B15" s="241">
        <f>'[2]Energy Expense'!$K$33</f>
        <v>507.99738070092252</v>
      </c>
      <c r="C15" s="241">
        <f>'[2]Energy Expense'!$K$34</f>
        <v>1132.4092294515733</v>
      </c>
      <c r="D15" s="241">
        <f>'[2]Energy Expense'!$K$35</f>
        <v>1364.3686335457608</v>
      </c>
      <c r="E15" s="241">
        <f>'[2]Energy Expense'!$K$36</f>
        <v>69.843044865470745</v>
      </c>
      <c r="F15" s="241"/>
      <c r="G15" s="130"/>
    </row>
    <row r="16" spans="1:7">
      <c r="A16" s="238" t="s">
        <v>488</v>
      </c>
      <c r="B16" s="241">
        <f>'[2]Energy Expense'!$H$33</f>
        <v>277.23973289112047</v>
      </c>
      <c r="C16" s="241">
        <f>'[2]Energy Expense'!$H$34</f>
        <v>151.24411131189621</v>
      </c>
      <c r="D16" s="241">
        <f>'[2]Energy Expense'!$H$35</f>
        <v>288.38150505266827</v>
      </c>
      <c r="E16" s="241">
        <f>'[2]Energy Expense'!$H$36</f>
        <v>22.963835045243886</v>
      </c>
      <c r="F16" s="241"/>
      <c r="G16" s="130"/>
    </row>
    <row r="19" spans="1:7">
      <c r="A19" s="244"/>
      <c r="B19" s="219"/>
      <c r="C19" s="219"/>
      <c r="D19" s="219"/>
      <c r="E19" s="219"/>
      <c r="F19" s="219"/>
      <c r="G19" s="130"/>
    </row>
    <row r="20" spans="1:7">
      <c r="A20" s="235" t="s">
        <v>490</v>
      </c>
      <c r="B20" s="219"/>
      <c r="C20" s="219"/>
      <c r="D20" s="219"/>
      <c r="E20" s="219"/>
      <c r="F20" s="219"/>
      <c r="G20" s="130"/>
    </row>
    <row r="21" spans="1:7">
      <c r="A21" s="243" t="s">
        <v>477</v>
      </c>
      <c r="B21" s="242">
        <f>'[2]Depth of Wells'!$B$33</f>
        <v>3073</v>
      </c>
      <c r="C21" s="242">
        <f>'[2]Depth of Wells'!$B$34</f>
        <v>1051</v>
      </c>
      <c r="D21" s="242">
        <f>'[2]Depth of Wells'!$B$35</f>
        <v>4744</v>
      </c>
      <c r="E21" s="242">
        <f>'[2]Depth of Wells'!$B$36</f>
        <v>4176</v>
      </c>
      <c r="F21" s="242"/>
      <c r="G21" s="130"/>
    </row>
    <row r="22" spans="1:7">
      <c r="A22" s="243" t="s">
        <v>133</v>
      </c>
      <c r="B22" s="242">
        <f>'[2]Depth of Wells'!$C$33</f>
        <v>9141</v>
      </c>
      <c r="C22" s="242">
        <f>'[2]Depth of Wells'!$C$34</f>
        <v>1629</v>
      </c>
      <c r="D22" s="242">
        <f>'[2]Depth of Wells'!$C$35</f>
        <v>8601</v>
      </c>
      <c r="E22" s="242">
        <f>'[2]Depth of Wells'!$C$36</f>
        <v>6771</v>
      </c>
      <c r="F22" s="242"/>
      <c r="G22" s="130"/>
    </row>
    <row r="23" spans="1:7">
      <c r="A23" s="243" t="s">
        <v>491</v>
      </c>
      <c r="B23" s="242">
        <f>'[2]Depth of Wells'!$D$33</f>
        <v>297</v>
      </c>
      <c r="C23" s="242">
        <f>'[2]Depth of Wells'!$D$34</f>
        <v>137</v>
      </c>
      <c r="D23" s="242">
        <f>'[2]Depth of Wells'!$D$35</f>
        <v>202</v>
      </c>
      <c r="E23" s="242">
        <f>'[2]Depth of Wells'!$D$36</f>
        <v>291</v>
      </c>
      <c r="F23" s="242"/>
      <c r="G23" s="130"/>
    </row>
    <row r="24" spans="1:7">
      <c r="A24" s="243" t="s">
        <v>492</v>
      </c>
      <c r="B24" s="242">
        <f>'[2]Depth of Wells'!$E$33</f>
        <v>149</v>
      </c>
      <c r="C24" s="242">
        <f>'[2]Depth of Wells'!$E$34</f>
        <v>43</v>
      </c>
      <c r="D24" s="242">
        <f>'[2]Depth of Wells'!$E$35</f>
        <v>71</v>
      </c>
      <c r="E24" s="242">
        <f>'[2]Depth of Wells'!$E$36</f>
        <v>110</v>
      </c>
      <c r="F24" s="242"/>
      <c r="G24" s="130"/>
    </row>
    <row r="25" spans="1:7">
      <c r="A25" s="243" t="s">
        <v>493</v>
      </c>
      <c r="B25" s="242">
        <f>'[2]Depth of Wells'!$F$33</f>
        <v>201</v>
      </c>
      <c r="C25" s="242">
        <f>'[2]Depth of Wells'!$F$34</f>
        <v>88</v>
      </c>
      <c r="D25" s="242">
        <f>'[2]Depth of Wells'!$F$35</f>
        <v>119</v>
      </c>
      <c r="E25" s="242">
        <f>'[2]Depth of Wells'!$F$36</f>
        <v>175</v>
      </c>
      <c r="F25" s="242"/>
      <c r="G25" s="130"/>
    </row>
    <row r="26" spans="1:7">
      <c r="A26" s="243" t="s">
        <v>494</v>
      </c>
      <c r="B26" s="242">
        <f>'[2]Depth of Wells'!$G$33</f>
        <v>1241</v>
      </c>
      <c r="C26" s="242">
        <f>'[2]Depth of Wells'!$G$34</f>
        <v>254</v>
      </c>
      <c r="D26" s="242">
        <f>'[2]Depth of Wells'!$G$35</f>
        <v>380</v>
      </c>
      <c r="E26" s="242">
        <f>'[2]Depth of Wells'!$G$36</f>
        <v>483</v>
      </c>
      <c r="F26" s="242"/>
      <c r="G26" s="130"/>
    </row>
    <row r="27" spans="1:7">
      <c r="A27" s="243" t="s">
        <v>495</v>
      </c>
      <c r="B27" s="242">
        <f>'[2]Depth of Wells'!$H$33</f>
        <v>62</v>
      </c>
      <c r="C27" s="242">
        <f>'[2]Depth of Wells'!$H$34</f>
        <v>62</v>
      </c>
      <c r="D27" s="242">
        <f>'[2]Depth of Wells'!$H$35</f>
        <v>63</v>
      </c>
      <c r="E27" s="242">
        <f>'[2]Depth of Wells'!$H$36</f>
        <v>64</v>
      </c>
      <c r="F27" s="242"/>
      <c r="G27" s="130"/>
    </row>
    <row r="28" spans="1:7">
      <c r="A28" s="245" t="s">
        <v>496</v>
      </c>
      <c r="B28" s="242">
        <f>'[2]Depth of Wells'!$I$33</f>
        <v>181</v>
      </c>
      <c r="C28" s="242">
        <f>'[2]Depth of Wells'!$I$34</f>
        <v>53</v>
      </c>
      <c r="D28" s="242">
        <f>'[2]Depth of Wells'!$I$35</f>
        <v>56</v>
      </c>
      <c r="E28" s="242">
        <f>'[2]Depth of Wells'!$I$36</f>
        <v>110</v>
      </c>
      <c r="F28" s="242"/>
      <c r="G28" s="130"/>
    </row>
    <row r="29" spans="1:7">
      <c r="A29" s="245" t="s">
        <v>497</v>
      </c>
      <c r="B29" s="242">
        <f>'[2]Depth of Wells'!$J$33</f>
        <v>1208</v>
      </c>
      <c r="C29" s="242">
        <f>'[2]Depth of Wells'!$J$34</f>
        <v>419</v>
      </c>
      <c r="D29" s="242">
        <f>'[2]Depth of Wells'!$J$35</f>
        <v>732</v>
      </c>
      <c r="E29" s="242">
        <f>'[2]Depth of Wells'!$J$36</f>
        <v>1117</v>
      </c>
      <c r="F29" s="242"/>
      <c r="G29" s="130"/>
    </row>
    <row r="30" spans="1:7">
      <c r="A30" s="243" t="s">
        <v>498</v>
      </c>
      <c r="B30" s="151">
        <f>'[2]Depth of Wells'!$K$33</f>
        <v>0.3496672022033509</v>
      </c>
      <c r="C30" s="151">
        <f>'[2]Depth of Wells'!$K$34</f>
        <v>6.2313518476015607E-2</v>
      </c>
      <c r="D30" s="151">
        <f>'[2]Depth of Wells'!$K$35</f>
        <v>0.32901078723892585</v>
      </c>
      <c r="E30" s="151">
        <f>'[2]Depth of Wells'!$K$36</f>
        <v>0.25900849208170762</v>
      </c>
      <c r="F30" s="151"/>
      <c r="G30" s="130"/>
    </row>
  </sheetData>
  <mergeCells count="1">
    <mergeCell ref="B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1"/>
  <dimension ref="A1:G147"/>
  <sheetViews>
    <sheetView workbookViewId="0">
      <selection activeCell="C13" sqref="C13"/>
    </sheetView>
  </sheetViews>
  <sheetFormatPr defaultRowHeight="12.75"/>
  <cols>
    <col min="1" max="1" width="18.28515625" customWidth="1"/>
    <col min="4" max="4" width="14" customWidth="1"/>
  </cols>
  <sheetData>
    <row r="1" spans="1:7">
      <c r="F1" s="134" t="s">
        <v>473</v>
      </c>
    </row>
    <row r="2" spans="1:7">
      <c r="B2" s="134" t="s">
        <v>368</v>
      </c>
      <c r="C2" s="134" t="s">
        <v>474</v>
      </c>
      <c r="D2" s="130"/>
      <c r="E2" s="130"/>
      <c r="F2" s="137">
        <v>1.2829999999999999</v>
      </c>
      <c r="G2" s="130"/>
    </row>
    <row r="3" spans="1:7">
      <c r="B3" s="146"/>
      <c r="C3" s="146"/>
      <c r="D3" s="134"/>
      <c r="E3" s="130"/>
      <c r="F3" s="130"/>
      <c r="G3" s="130"/>
    </row>
    <row r="4" spans="1:7">
      <c r="B4" s="146"/>
      <c r="C4" s="146"/>
      <c r="D4" s="134"/>
      <c r="E4" s="130"/>
      <c r="F4" s="130"/>
      <c r="G4" s="130"/>
    </row>
    <row r="5" spans="1:7">
      <c r="B5" s="146"/>
      <c r="C5" s="146"/>
      <c r="D5" s="134"/>
      <c r="E5" s="130"/>
      <c r="F5" s="130"/>
      <c r="G5" s="130"/>
    </row>
    <row r="6" spans="1:7">
      <c r="B6" s="146">
        <v>8000</v>
      </c>
      <c r="C6" s="249">
        <f t="shared" ref="C6:C12" si="0">Deflator*B6</f>
        <v>10264</v>
      </c>
      <c r="D6" s="134" t="s">
        <v>147</v>
      </c>
      <c r="E6" s="130"/>
      <c r="F6" s="130"/>
      <c r="G6" s="130"/>
    </row>
    <row r="7" spans="1:7">
      <c r="B7" s="146">
        <v>3000</v>
      </c>
      <c r="C7" s="249">
        <f t="shared" si="0"/>
        <v>3848.9999999999995</v>
      </c>
      <c r="D7" s="134" t="s">
        <v>146</v>
      </c>
      <c r="E7" s="130"/>
      <c r="F7" s="130"/>
      <c r="G7" s="130"/>
    </row>
    <row r="8" spans="1:7">
      <c r="B8" s="146">
        <v>130</v>
      </c>
      <c r="C8" s="249">
        <f t="shared" si="0"/>
        <v>166.79</v>
      </c>
      <c r="D8" s="134" t="s">
        <v>148</v>
      </c>
      <c r="E8" s="130"/>
      <c r="F8" s="130"/>
      <c r="G8" s="130"/>
    </row>
    <row r="9" spans="1:7">
      <c r="B9" s="146">
        <v>30</v>
      </c>
      <c r="C9" s="249">
        <f t="shared" si="0"/>
        <v>38.489999999999995</v>
      </c>
      <c r="D9" s="134" t="s">
        <v>149</v>
      </c>
      <c r="E9" s="130"/>
      <c r="F9" s="130"/>
      <c r="G9" s="130"/>
    </row>
    <row r="10" spans="1:7">
      <c r="B10" s="156">
        <v>3.75</v>
      </c>
      <c r="C10" s="249">
        <f t="shared" si="0"/>
        <v>4.8112499999999994</v>
      </c>
      <c r="D10" s="134" t="s">
        <v>371</v>
      </c>
      <c r="E10" s="130"/>
      <c r="F10" s="130"/>
      <c r="G10" s="130"/>
    </row>
    <row r="11" spans="1:7">
      <c r="B11" s="146">
        <v>12</v>
      </c>
      <c r="C11" s="249">
        <f t="shared" si="0"/>
        <v>15.395999999999999</v>
      </c>
      <c r="D11" s="134" t="s">
        <v>372</v>
      </c>
      <c r="E11" s="130"/>
      <c r="F11" s="130"/>
      <c r="G11" s="130"/>
    </row>
    <row r="12" spans="1:7">
      <c r="B12" s="246">
        <v>435</v>
      </c>
      <c r="C12" s="249">
        <f t="shared" si="0"/>
        <v>558.10500000000002</v>
      </c>
      <c r="D12" s="247" t="s">
        <v>373</v>
      </c>
      <c r="E12" s="130"/>
      <c r="F12" s="130"/>
      <c r="G12" s="130"/>
    </row>
    <row r="15" spans="1:7">
      <c r="A15" t="s">
        <v>640</v>
      </c>
    </row>
    <row r="17" spans="1:4" ht="30">
      <c r="A17" s="271" t="s">
        <v>561</v>
      </c>
      <c r="B17" s="272" t="s">
        <v>562</v>
      </c>
      <c r="C17" s="272" t="s">
        <v>230</v>
      </c>
      <c r="D17" s="271" t="s">
        <v>563</v>
      </c>
    </row>
    <row r="18" spans="1:4" ht="30">
      <c r="A18" s="273" t="s">
        <v>564</v>
      </c>
      <c r="B18" s="274">
        <v>1895.9594113253149</v>
      </c>
      <c r="C18" s="274">
        <v>1581.99915327855</v>
      </c>
      <c r="D18" s="275">
        <v>50000</v>
      </c>
    </row>
    <row r="19" spans="1:4" ht="30">
      <c r="A19" s="273" t="s">
        <v>565</v>
      </c>
      <c r="B19" s="274">
        <v>5417</v>
      </c>
      <c r="C19" s="274">
        <v>3145</v>
      </c>
      <c r="D19" s="275">
        <v>9862</v>
      </c>
    </row>
    <row r="20" spans="1:4" ht="30">
      <c r="A20" s="273" t="s">
        <v>566</v>
      </c>
      <c r="B20" s="274">
        <v>6211</v>
      </c>
      <c r="C20" s="274">
        <v>2345</v>
      </c>
      <c r="D20" s="275">
        <v>1258</v>
      </c>
    </row>
    <row r="21" spans="1:4" ht="30">
      <c r="A21" s="273" t="s">
        <v>565</v>
      </c>
      <c r="B21" s="274">
        <v>8522</v>
      </c>
      <c r="C21" s="274">
        <v>7301</v>
      </c>
      <c r="D21" s="275">
        <v>10000</v>
      </c>
    </row>
    <row r="22" spans="1:4" ht="30">
      <c r="A22" s="276" t="s">
        <v>567</v>
      </c>
      <c r="B22" s="277">
        <v>8760</v>
      </c>
      <c r="C22" s="277">
        <v>4080</v>
      </c>
      <c r="D22" s="278">
        <v>8813</v>
      </c>
    </row>
    <row r="23" spans="1:4" ht="30">
      <c r="A23" s="276" t="s">
        <v>565</v>
      </c>
      <c r="B23" s="277">
        <v>11037</v>
      </c>
      <c r="C23" s="277">
        <v>2513</v>
      </c>
      <c r="D23" s="278">
        <v>5319</v>
      </c>
    </row>
    <row r="24" spans="1:4" ht="30">
      <c r="A24" s="276" t="s">
        <v>568</v>
      </c>
      <c r="B24" s="277">
        <v>13973</v>
      </c>
      <c r="C24" s="277">
        <v>6087</v>
      </c>
      <c r="D24" s="278">
        <v>56799.1</v>
      </c>
    </row>
    <row r="25" spans="1:4" ht="15">
      <c r="A25" s="276" t="s">
        <v>569</v>
      </c>
      <c r="B25" s="277">
        <v>14678</v>
      </c>
      <c r="C25" s="277">
        <v>12982</v>
      </c>
      <c r="D25" s="278">
        <v>19807</v>
      </c>
    </row>
    <row r="26" spans="1:4" ht="30">
      <c r="A26" s="276" t="s">
        <v>565</v>
      </c>
      <c r="B26" s="277">
        <v>14859</v>
      </c>
      <c r="C26" s="277">
        <v>8917</v>
      </c>
      <c r="D26" s="278">
        <v>13423</v>
      </c>
    </row>
    <row r="27" spans="1:4" ht="30">
      <c r="A27" s="276" t="s">
        <v>565</v>
      </c>
      <c r="B27" s="277">
        <v>14883</v>
      </c>
      <c r="C27" s="277">
        <v>12875</v>
      </c>
      <c r="D27" s="278">
        <v>11440</v>
      </c>
    </row>
    <row r="28" spans="1:4" ht="30">
      <c r="A28" s="273" t="s">
        <v>565</v>
      </c>
      <c r="B28" s="274">
        <v>16259</v>
      </c>
      <c r="C28" s="274">
        <v>5970</v>
      </c>
      <c r="D28" s="275">
        <v>67500</v>
      </c>
    </row>
    <row r="29" spans="1:4" ht="30">
      <c r="A29" s="276" t="s">
        <v>565</v>
      </c>
      <c r="B29" s="277">
        <v>18059</v>
      </c>
      <c r="C29" s="277">
        <v>14164</v>
      </c>
      <c r="D29" s="278">
        <v>13300</v>
      </c>
    </row>
    <row r="30" spans="1:4" ht="45">
      <c r="A30" s="276" t="s">
        <v>570</v>
      </c>
      <c r="B30" s="277">
        <v>18078</v>
      </c>
      <c r="C30" s="277">
        <v>18078</v>
      </c>
      <c r="D30" s="278">
        <v>24643</v>
      </c>
    </row>
    <row r="31" spans="1:4" ht="15">
      <c r="A31" s="276" t="s">
        <v>137</v>
      </c>
      <c r="B31" s="277">
        <v>19685</v>
      </c>
      <c r="C31" s="277">
        <v>9866</v>
      </c>
      <c r="D31" s="278">
        <v>74755</v>
      </c>
    </row>
    <row r="32" spans="1:4" ht="30">
      <c r="A32" s="276" t="s">
        <v>565</v>
      </c>
      <c r="B32" s="277">
        <v>20102</v>
      </c>
      <c r="C32" s="277">
        <v>14756</v>
      </c>
      <c r="D32" s="278">
        <v>39423</v>
      </c>
    </row>
    <row r="33" spans="1:4" ht="30">
      <c r="A33" s="276" t="s">
        <v>565</v>
      </c>
      <c r="B33" s="277">
        <v>20562</v>
      </c>
      <c r="C33" s="277">
        <v>9795</v>
      </c>
      <c r="D33" s="278">
        <v>15700</v>
      </c>
    </row>
    <row r="34" spans="1:4" ht="45">
      <c r="A34" s="276" t="s">
        <v>571</v>
      </c>
      <c r="B34" s="277">
        <v>21114</v>
      </c>
      <c r="C34" s="277">
        <v>8955</v>
      </c>
      <c r="D34" s="278">
        <v>18444</v>
      </c>
    </row>
    <row r="35" spans="1:4" ht="15">
      <c r="A35" s="276" t="s">
        <v>572</v>
      </c>
      <c r="B35" s="279">
        <v>22212</v>
      </c>
      <c r="C35" s="277">
        <v>11632</v>
      </c>
      <c r="D35" s="278">
        <v>34513.050000000003</v>
      </c>
    </row>
    <row r="36" spans="1:4" ht="30">
      <c r="A36" s="276" t="s">
        <v>565</v>
      </c>
      <c r="B36" s="279">
        <v>22504</v>
      </c>
      <c r="C36" s="277">
        <v>8934</v>
      </c>
      <c r="D36" s="278">
        <v>8872</v>
      </c>
    </row>
    <row r="37" spans="1:4" ht="45">
      <c r="A37" s="276" t="s">
        <v>573</v>
      </c>
      <c r="B37" s="279">
        <v>24282</v>
      </c>
      <c r="C37" s="277">
        <v>6912</v>
      </c>
      <c r="D37" s="278">
        <v>11268.05</v>
      </c>
    </row>
    <row r="38" spans="1:4" ht="30">
      <c r="A38" s="276" t="s">
        <v>574</v>
      </c>
      <c r="B38" s="279">
        <v>25105</v>
      </c>
      <c r="C38" s="277">
        <v>19991</v>
      </c>
      <c r="D38" s="278">
        <v>9377.08</v>
      </c>
    </row>
    <row r="39" spans="1:4" ht="45">
      <c r="A39" s="276" t="s">
        <v>575</v>
      </c>
      <c r="B39" s="279">
        <v>25115</v>
      </c>
      <c r="C39" s="277">
        <v>20000</v>
      </c>
      <c r="D39" s="278">
        <v>10905.55</v>
      </c>
    </row>
    <row r="40" spans="1:4" ht="30">
      <c r="A40" s="273" t="s">
        <v>565</v>
      </c>
      <c r="B40" s="280">
        <v>26023</v>
      </c>
      <c r="C40" s="274">
        <v>10774</v>
      </c>
      <c r="D40" s="275">
        <v>44868</v>
      </c>
    </row>
    <row r="41" spans="1:4" ht="30">
      <c r="A41" s="276" t="s">
        <v>565</v>
      </c>
      <c r="B41" s="279">
        <v>26785</v>
      </c>
      <c r="C41" s="277">
        <v>13218</v>
      </c>
      <c r="D41" s="278">
        <v>34437</v>
      </c>
    </row>
    <row r="42" spans="1:4" ht="30">
      <c r="A42" s="276" t="s">
        <v>576</v>
      </c>
      <c r="B42" s="279">
        <v>28185</v>
      </c>
      <c r="C42" s="277">
        <v>20173</v>
      </c>
      <c r="D42" s="278">
        <v>23039</v>
      </c>
    </row>
    <row r="43" spans="1:4" ht="30">
      <c r="A43" s="273" t="s">
        <v>565</v>
      </c>
      <c r="B43" s="280">
        <v>28236</v>
      </c>
      <c r="C43" s="274">
        <v>22989</v>
      </c>
      <c r="D43" s="275">
        <v>31500</v>
      </c>
    </row>
    <row r="44" spans="1:4" ht="30">
      <c r="A44" s="276" t="s">
        <v>565</v>
      </c>
      <c r="B44" s="279">
        <v>28286</v>
      </c>
      <c r="C44" s="277">
        <v>16798</v>
      </c>
      <c r="D44" s="278">
        <v>18849.02</v>
      </c>
    </row>
    <row r="45" spans="1:4" ht="15">
      <c r="A45" s="276" t="s">
        <v>577</v>
      </c>
      <c r="B45" s="279">
        <v>29480</v>
      </c>
      <c r="C45" s="277">
        <v>20280</v>
      </c>
      <c r="D45" s="278">
        <v>44747</v>
      </c>
    </row>
    <row r="46" spans="1:4" ht="30">
      <c r="A46" s="276" t="s">
        <v>578</v>
      </c>
      <c r="B46" s="277">
        <v>29869</v>
      </c>
      <c r="C46" s="277">
        <v>22057</v>
      </c>
      <c r="D46" s="278">
        <v>19500</v>
      </c>
    </row>
    <row r="47" spans="1:4" ht="30">
      <c r="A47" s="276" t="s">
        <v>579</v>
      </c>
      <c r="B47" s="277">
        <v>30076</v>
      </c>
      <c r="C47" s="277">
        <v>11385</v>
      </c>
      <c r="D47" s="278">
        <v>7476</v>
      </c>
    </row>
    <row r="48" spans="1:4" ht="45">
      <c r="A48" s="276" t="s">
        <v>580</v>
      </c>
      <c r="B48" s="277">
        <v>32606</v>
      </c>
      <c r="C48" s="277">
        <v>8465</v>
      </c>
      <c r="D48" s="278">
        <v>11380</v>
      </c>
    </row>
    <row r="49" spans="1:4" ht="30">
      <c r="A49" s="276" t="s">
        <v>565</v>
      </c>
      <c r="B49" s="277">
        <v>32695</v>
      </c>
      <c r="C49" s="277">
        <v>26898</v>
      </c>
      <c r="D49" s="278">
        <v>30225</v>
      </c>
    </row>
    <row r="50" spans="1:4" ht="60">
      <c r="A50" s="276" t="s">
        <v>581</v>
      </c>
      <c r="B50" s="277">
        <v>32784</v>
      </c>
      <c r="C50" s="277">
        <v>14372</v>
      </c>
      <c r="D50" s="278">
        <v>15166</v>
      </c>
    </row>
    <row r="51" spans="1:4" ht="45">
      <c r="A51" s="276" t="s">
        <v>582</v>
      </c>
      <c r="B51" s="277">
        <v>33565</v>
      </c>
      <c r="C51" s="277">
        <v>31459</v>
      </c>
      <c r="D51" s="278">
        <v>11556.38</v>
      </c>
    </row>
    <row r="52" spans="1:4" ht="30">
      <c r="A52" s="276" t="s">
        <v>565</v>
      </c>
      <c r="B52" s="277">
        <v>33835</v>
      </c>
      <c r="C52" s="277">
        <v>9059</v>
      </c>
      <c r="D52" s="278">
        <v>18855</v>
      </c>
    </row>
    <row r="53" spans="1:4" ht="45">
      <c r="A53" s="276" t="s">
        <v>583</v>
      </c>
      <c r="B53" s="279">
        <v>34074</v>
      </c>
      <c r="C53" s="277">
        <v>11608</v>
      </c>
      <c r="D53" s="278">
        <v>22744</v>
      </c>
    </row>
    <row r="54" spans="1:4" ht="30">
      <c r="A54" s="273" t="s">
        <v>565</v>
      </c>
      <c r="B54" s="274">
        <v>34190</v>
      </c>
      <c r="C54" s="274">
        <v>20106</v>
      </c>
      <c r="D54" s="275">
        <v>12861</v>
      </c>
    </row>
    <row r="55" spans="1:4" ht="15">
      <c r="A55" s="276" t="s">
        <v>577</v>
      </c>
      <c r="B55" s="279">
        <v>34343</v>
      </c>
      <c r="C55" s="277">
        <v>27201</v>
      </c>
      <c r="D55" s="278">
        <v>52862</v>
      </c>
    </row>
    <row r="56" spans="1:4" ht="45">
      <c r="A56" s="276" t="s">
        <v>584</v>
      </c>
      <c r="B56" s="277">
        <v>34906</v>
      </c>
      <c r="C56" s="277">
        <v>10261</v>
      </c>
      <c r="D56" s="278">
        <v>13801</v>
      </c>
    </row>
    <row r="57" spans="1:4" ht="30">
      <c r="A57" s="276" t="s">
        <v>565</v>
      </c>
      <c r="B57" s="279">
        <v>35427</v>
      </c>
      <c r="C57" s="277">
        <v>32851</v>
      </c>
      <c r="D57" s="278">
        <v>34907</v>
      </c>
    </row>
    <row r="58" spans="1:4" ht="60">
      <c r="A58" s="273" t="s">
        <v>585</v>
      </c>
      <c r="B58" s="274">
        <v>36422</v>
      </c>
      <c r="C58" s="274">
        <v>17073</v>
      </c>
      <c r="D58" s="275">
        <v>30000</v>
      </c>
    </row>
    <row r="59" spans="1:4" ht="60">
      <c r="A59" s="276" t="s">
        <v>586</v>
      </c>
      <c r="B59" s="277">
        <v>37945</v>
      </c>
      <c r="C59" s="277">
        <v>24136</v>
      </c>
      <c r="D59" s="278">
        <v>96378</v>
      </c>
    </row>
    <row r="60" spans="1:4" ht="60">
      <c r="A60" s="276" t="s">
        <v>587</v>
      </c>
      <c r="B60" s="279">
        <v>38099</v>
      </c>
      <c r="C60" s="277">
        <v>29182</v>
      </c>
      <c r="D60" s="278">
        <v>5351</v>
      </c>
    </row>
    <row r="61" spans="1:4" ht="30">
      <c r="A61" s="276" t="s">
        <v>588</v>
      </c>
      <c r="B61" s="277">
        <v>38671</v>
      </c>
      <c r="C61" s="277">
        <v>25561</v>
      </c>
      <c r="D61" s="278">
        <v>76082</v>
      </c>
    </row>
    <row r="62" spans="1:4" ht="30">
      <c r="A62" s="276" t="s">
        <v>578</v>
      </c>
      <c r="B62" s="279">
        <v>38687</v>
      </c>
      <c r="C62" s="277">
        <v>20547</v>
      </c>
      <c r="D62" s="278">
        <v>55317.5</v>
      </c>
    </row>
    <row r="63" spans="1:4" ht="30">
      <c r="A63" s="276" t="s">
        <v>565</v>
      </c>
      <c r="B63" s="277">
        <v>39193</v>
      </c>
      <c r="C63" s="277">
        <v>19724</v>
      </c>
      <c r="D63" s="278">
        <v>83613</v>
      </c>
    </row>
    <row r="64" spans="1:4" ht="30">
      <c r="A64" s="276" t="s">
        <v>589</v>
      </c>
      <c r="B64" s="277">
        <v>39576</v>
      </c>
      <c r="C64" s="277">
        <v>31700</v>
      </c>
      <c r="D64" s="278">
        <v>69055.72</v>
      </c>
    </row>
    <row r="65" spans="1:4" ht="30">
      <c r="A65" s="276" t="s">
        <v>565</v>
      </c>
      <c r="B65" s="277">
        <v>39971</v>
      </c>
      <c r="C65" s="277">
        <v>18728</v>
      </c>
      <c r="D65" s="278">
        <v>62250</v>
      </c>
    </row>
    <row r="66" spans="1:4" ht="30">
      <c r="A66" s="276" t="s">
        <v>565</v>
      </c>
      <c r="B66" s="277">
        <v>40028</v>
      </c>
      <c r="C66" s="277">
        <v>23418</v>
      </c>
      <c r="D66" s="278">
        <v>19303.400000000001</v>
      </c>
    </row>
    <row r="67" spans="1:4" ht="30">
      <c r="A67" s="276" t="s">
        <v>590</v>
      </c>
      <c r="B67" s="277">
        <v>41347</v>
      </c>
      <c r="C67" s="277">
        <v>11259</v>
      </c>
      <c r="D67" s="278">
        <v>106949.27</v>
      </c>
    </row>
    <row r="68" spans="1:4" ht="75">
      <c r="A68" s="276" t="s">
        <v>591</v>
      </c>
      <c r="B68" s="277">
        <v>44744</v>
      </c>
      <c r="C68" s="277">
        <v>41696</v>
      </c>
      <c r="D68" s="278">
        <v>27498.33</v>
      </c>
    </row>
    <row r="69" spans="1:4" ht="30">
      <c r="A69" s="276" t="s">
        <v>565</v>
      </c>
      <c r="B69" s="277">
        <v>45142</v>
      </c>
      <c r="C69" s="277">
        <v>34668</v>
      </c>
      <c r="D69" s="278">
        <v>55247.47</v>
      </c>
    </row>
    <row r="70" spans="1:4" ht="30">
      <c r="A70" s="276" t="s">
        <v>565</v>
      </c>
      <c r="B70" s="277">
        <v>47195</v>
      </c>
      <c r="C70" s="277">
        <v>38333</v>
      </c>
      <c r="D70" s="278">
        <v>19454.12</v>
      </c>
    </row>
    <row r="71" spans="1:4" ht="30">
      <c r="A71" s="276" t="s">
        <v>592</v>
      </c>
      <c r="B71" s="279">
        <v>48682</v>
      </c>
      <c r="C71" s="277">
        <v>27602</v>
      </c>
      <c r="D71" s="278">
        <v>83293.25</v>
      </c>
    </row>
    <row r="72" spans="1:4" ht="15">
      <c r="A72" s="276" t="s">
        <v>593</v>
      </c>
      <c r="B72" s="277">
        <v>48979</v>
      </c>
      <c r="C72" s="277">
        <v>14406</v>
      </c>
      <c r="D72" s="278">
        <v>78212.05</v>
      </c>
    </row>
    <row r="73" spans="1:4" ht="30">
      <c r="A73" s="273" t="s">
        <v>590</v>
      </c>
      <c r="B73" s="274">
        <v>49777</v>
      </c>
      <c r="C73" s="274">
        <v>25323</v>
      </c>
      <c r="D73" s="275">
        <v>15216</v>
      </c>
    </row>
    <row r="74" spans="1:4" ht="15">
      <c r="A74" s="276" t="s">
        <v>594</v>
      </c>
      <c r="B74" s="277">
        <v>50780</v>
      </c>
      <c r="C74" s="277">
        <v>14030</v>
      </c>
      <c r="D74" s="278">
        <v>138211</v>
      </c>
    </row>
    <row r="75" spans="1:4" ht="60">
      <c r="A75" s="276" t="s">
        <v>595</v>
      </c>
      <c r="B75" s="277">
        <v>51244</v>
      </c>
      <c r="C75" s="277">
        <v>35901</v>
      </c>
      <c r="D75" s="278">
        <v>86700</v>
      </c>
    </row>
    <row r="76" spans="1:4" ht="15">
      <c r="A76" s="276" t="s">
        <v>596</v>
      </c>
      <c r="B76" s="277">
        <v>51317</v>
      </c>
      <c r="C76" s="277">
        <v>18974</v>
      </c>
      <c r="D76" s="278">
        <v>10495</v>
      </c>
    </row>
    <row r="77" spans="1:4" ht="30">
      <c r="A77" s="276" t="s">
        <v>592</v>
      </c>
      <c r="B77" s="277">
        <v>52556</v>
      </c>
      <c r="C77" s="277">
        <v>30164</v>
      </c>
      <c r="D77" s="278">
        <v>107734</v>
      </c>
    </row>
    <row r="78" spans="1:4" ht="60">
      <c r="A78" s="276" t="s">
        <v>597</v>
      </c>
      <c r="B78" s="277">
        <v>53640</v>
      </c>
      <c r="C78" s="277">
        <v>42053</v>
      </c>
      <c r="D78" s="278">
        <v>102784.16</v>
      </c>
    </row>
    <row r="79" spans="1:4" ht="60">
      <c r="A79" s="276" t="s">
        <v>598</v>
      </c>
      <c r="B79" s="277">
        <v>53651</v>
      </c>
      <c r="C79" s="277">
        <v>39432</v>
      </c>
      <c r="D79" s="278">
        <v>94805</v>
      </c>
    </row>
    <row r="80" spans="1:4" ht="30">
      <c r="A80" s="276" t="s">
        <v>599</v>
      </c>
      <c r="B80" s="277">
        <v>54286</v>
      </c>
      <c r="C80" s="277">
        <v>30778</v>
      </c>
      <c r="D80" s="278">
        <v>7818</v>
      </c>
    </row>
    <row r="81" spans="1:4" ht="30">
      <c r="A81" s="276" t="s">
        <v>565</v>
      </c>
      <c r="B81" s="277">
        <v>54803</v>
      </c>
      <c r="C81" s="277">
        <v>46666</v>
      </c>
      <c r="D81" s="278">
        <v>41876.6</v>
      </c>
    </row>
    <row r="82" spans="1:4" ht="60">
      <c r="A82" s="276" t="s">
        <v>600</v>
      </c>
      <c r="B82" s="277">
        <v>55107</v>
      </c>
      <c r="C82" s="277">
        <v>23320</v>
      </c>
      <c r="D82" s="278">
        <v>103761.31</v>
      </c>
    </row>
    <row r="83" spans="1:4" ht="30">
      <c r="A83" s="276" t="s">
        <v>590</v>
      </c>
      <c r="B83" s="277">
        <v>55263</v>
      </c>
      <c r="C83" s="277">
        <v>41072</v>
      </c>
      <c r="D83" s="278">
        <v>108511.12</v>
      </c>
    </row>
    <row r="84" spans="1:4" ht="15">
      <c r="A84" s="276" t="s">
        <v>601</v>
      </c>
      <c r="B84" s="277">
        <v>55408</v>
      </c>
      <c r="C84" s="277">
        <v>31088</v>
      </c>
      <c r="D84" s="278">
        <v>89868</v>
      </c>
    </row>
    <row r="85" spans="1:4" ht="30">
      <c r="A85" s="276" t="s">
        <v>602</v>
      </c>
      <c r="B85" s="277">
        <v>55982</v>
      </c>
      <c r="C85" s="277">
        <v>37333</v>
      </c>
      <c r="D85" s="278">
        <v>106669.1</v>
      </c>
    </row>
    <row r="86" spans="1:4" ht="30">
      <c r="A86" s="276" t="s">
        <v>564</v>
      </c>
      <c r="B86" s="277">
        <v>56471</v>
      </c>
      <c r="C86" s="277">
        <v>24116</v>
      </c>
      <c r="D86" s="278">
        <v>118932</v>
      </c>
    </row>
    <row r="87" spans="1:4" ht="30">
      <c r="A87" s="273" t="s">
        <v>564</v>
      </c>
      <c r="B87" s="274">
        <v>57363.812418181813</v>
      </c>
      <c r="C87" s="274">
        <v>48375.946500607759</v>
      </c>
      <c r="D87" s="275">
        <v>67295</v>
      </c>
    </row>
    <row r="88" spans="1:4" ht="60">
      <c r="A88" s="276" t="s">
        <v>603</v>
      </c>
      <c r="B88" s="277">
        <v>59024</v>
      </c>
      <c r="C88" s="277">
        <v>50149</v>
      </c>
      <c r="D88" s="278">
        <v>84889</v>
      </c>
    </row>
    <row r="89" spans="1:4" ht="15">
      <c r="A89" s="276" t="s">
        <v>577</v>
      </c>
      <c r="B89" s="277">
        <v>59295</v>
      </c>
      <c r="C89" s="277">
        <v>34882</v>
      </c>
      <c r="D89" s="278">
        <v>98610.28</v>
      </c>
    </row>
    <row r="90" spans="1:4" ht="75">
      <c r="A90" s="276" t="s">
        <v>604</v>
      </c>
      <c r="B90" s="277">
        <v>59333</v>
      </c>
      <c r="C90" s="277">
        <v>28340</v>
      </c>
      <c r="D90" s="278">
        <v>28341</v>
      </c>
    </row>
    <row r="91" spans="1:4" ht="30">
      <c r="A91" s="276" t="s">
        <v>565</v>
      </c>
      <c r="B91" s="277">
        <v>59476</v>
      </c>
      <c r="C91" s="277">
        <v>19633</v>
      </c>
      <c r="D91" s="278">
        <v>84574.98</v>
      </c>
    </row>
    <row r="92" spans="1:4" ht="30">
      <c r="A92" s="273" t="s">
        <v>565</v>
      </c>
      <c r="B92" s="274">
        <v>60852</v>
      </c>
      <c r="C92" s="274">
        <v>35511</v>
      </c>
      <c r="D92" s="275">
        <v>30600</v>
      </c>
    </row>
    <row r="93" spans="1:4" ht="30">
      <c r="A93" s="276" t="s">
        <v>605</v>
      </c>
      <c r="B93" s="277">
        <v>61091</v>
      </c>
      <c r="C93" s="277">
        <v>32109</v>
      </c>
      <c r="D93" s="278">
        <v>68166</v>
      </c>
    </row>
    <row r="94" spans="1:4" ht="30">
      <c r="A94" s="276" t="s">
        <v>606</v>
      </c>
      <c r="B94" s="277">
        <v>61585</v>
      </c>
      <c r="C94" s="277">
        <v>36498</v>
      </c>
      <c r="D94" s="278">
        <v>94581</v>
      </c>
    </row>
    <row r="95" spans="1:4" ht="45">
      <c r="A95" s="273" t="s">
        <v>607</v>
      </c>
      <c r="B95" s="274">
        <v>61611</v>
      </c>
      <c r="C95" s="274">
        <v>28319</v>
      </c>
      <c r="D95" s="275">
        <v>146515</v>
      </c>
    </row>
    <row r="96" spans="1:4" ht="60">
      <c r="A96" s="276" t="s">
        <v>608</v>
      </c>
      <c r="B96" s="277">
        <v>64759</v>
      </c>
      <c r="C96" s="277">
        <v>37262</v>
      </c>
      <c r="D96" s="278">
        <v>88168</v>
      </c>
    </row>
    <row r="97" spans="1:4" ht="30">
      <c r="A97" s="273" t="s">
        <v>564</v>
      </c>
      <c r="B97" s="274">
        <v>65145.134470413221</v>
      </c>
      <c r="C97" s="274">
        <v>28565.45163064816</v>
      </c>
      <c r="D97" s="275">
        <v>60000</v>
      </c>
    </row>
    <row r="98" spans="1:4" ht="30">
      <c r="A98" s="276" t="s">
        <v>592</v>
      </c>
      <c r="B98" s="277">
        <v>65174</v>
      </c>
      <c r="C98" s="277">
        <v>41653</v>
      </c>
      <c r="D98" s="278">
        <v>144843</v>
      </c>
    </row>
    <row r="99" spans="1:4" ht="60">
      <c r="A99" s="276" t="s">
        <v>586</v>
      </c>
      <c r="B99" s="277">
        <v>67315</v>
      </c>
      <c r="C99" s="277">
        <v>32627</v>
      </c>
      <c r="D99" s="278">
        <v>94770</v>
      </c>
    </row>
    <row r="100" spans="1:4" ht="15">
      <c r="A100" s="276" t="s">
        <v>137</v>
      </c>
      <c r="B100" s="277">
        <v>67394</v>
      </c>
      <c r="C100" s="277">
        <v>52154</v>
      </c>
      <c r="D100" s="278">
        <v>91995</v>
      </c>
    </row>
    <row r="101" spans="1:4" ht="30">
      <c r="A101" s="276" t="s">
        <v>609</v>
      </c>
      <c r="B101" s="277">
        <v>67674</v>
      </c>
      <c r="C101" s="277">
        <v>43535</v>
      </c>
      <c r="D101" s="278">
        <v>10800</v>
      </c>
    </row>
    <row r="102" spans="1:4" ht="45">
      <c r="A102" s="276" t="s">
        <v>610</v>
      </c>
      <c r="B102" s="277">
        <v>68797</v>
      </c>
      <c r="C102" s="277">
        <v>40680</v>
      </c>
      <c r="D102" s="278">
        <v>96630</v>
      </c>
    </row>
    <row r="103" spans="1:4" ht="30">
      <c r="A103" s="276" t="s">
        <v>611</v>
      </c>
      <c r="B103" s="277">
        <v>70866</v>
      </c>
      <c r="C103" s="277">
        <v>42096</v>
      </c>
      <c r="D103" s="278">
        <v>124569</v>
      </c>
    </row>
    <row r="104" spans="1:4" ht="15">
      <c r="A104" s="276" t="s">
        <v>131</v>
      </c>
      <c r="B104" s="277">
        <v>71140</v>
      </c>
      <c r="C104" s="277">
        <v>41807</v>
      </c>
      <c r="D104" s="278">
        <v>86057</v>
      </c>
    </row>
    <row r="105" spans="1:4" ht="30">
      <c r="A105" s="276" t="s">
        <v>612</v>
      </c>
      <c r="B105" s="277">
        <v>72332</v>
      </c>
      <c r="C105" s="277">
        <v>46954</v>
      </c>
      <c r="D105" s="278">
        <v>122023</v>
      </c>
    </row>
    <row r="106" spans="1:4" ht="30">
      <c r="A106" s="276" t="s">
        <v>592</v>
      </c>
      <c r="B106" s="277">
        <v>72376</v>
      </c>
      <c r="C106" s="277">
        <v>28733</v>
      </c>
      <c r="D106" s="278">
        <v>80554</v>
      </c>
    </row>
    <row r="107" spans="1:4" ht="30">
      <c r="A107" s="276" t="s">
        <v>613</v>
      </c>
      <c r="B107" s="277">
        <v>73770</v>
      </c>
      <c r="C107" s="277">
        <v>26142</v>
      </c>
      <c r="D107" s="278">
        <v>84762</v>
      </c>
    </row>
    <row r="108" spans="1:4" ht="30">
      <c r="A108" s="276" t="s">
        <v>614</v>
      </c>
      <c r="B108" s="277">
        <v>75858</v>
      </c>
      <c r="C108" s="277">
        <v>41057</v>
      </c>
      <c r="D108" s="278">
        <v>170407</v>
      </c>
    </row>
    <row r="109" spans="1:4" ht="15">
      <c r="A109" s="276" t="s">
        <v>615</v>
      </c>
      <c r="B109" s="277">
        <v>78698</v>
      </c>
      <c r="C109" s="277">
        <v>48844</v>
      </c>
      <c r="D109" s="278">
        <v>84259.289900000003</v>
      </c>
    </row>
    <row r="110" spans="1:4" ht="15">
      <c r="A110" s="276" t="s">
        <v>137</v>
      </c>
      <c r="B110" s="277">
        <v>78927</v>
      </c>
      <c r="C110" s="277">
        <v>46838</v>
      </c>
      <c r="D110" s="278">
        <v>93049.42</v>
      </c>
    </row>
    <row r="111" spans="1:4" ht="15">
      <c r="A111" s="276" t="s">
        <v>616</v>
      </c>
      <c r="B111" s="277">
        <v>81211</v>
      </c>
      <c r="C111" s="277">
        <v>55910</v>
      </c>
      <c r="D111" s="278">
        <v>16336</v>
      </c>
    </row>
    <row r="112" spans="1:4" ht="75">
      <c r="A112" s="276" t="s">
        <v>617</v>
      </c>
      <c r="B112" s="277">
        <v>81808</v>
      </c>
      <c r="C112" s="277">
        <v>31406</v>
      </c>
      <c r="D112" s="278">
        <v>115770.21</v>
      </c>
    </row>
    <row r="113" spans="1:4" ht="60">
      <c r="A113" s="276" t="s">
        <v>618</v>
      </c>
      <c r="B113" s="277">
        <v>84456</v>
      </c>
      <c r="C113" s="277">
        <v>14455</v>
      </c>
      <c r="D113" s="278">
        <v>35011</v>
      </c>
    </row>
    <row r="114" spans="1:4" ht="45">
      <c r="A114" s="276" t="s">
        <v>619</v>
      </c>
      <c r="B114" s="277">
        <v>85459</v>
      </c>
      <c r="C114" s="277">
        <v>37745</v>
      </c>
      <c r="D114" s="278">
        <v>51104</v>
      </c>
    </row>
    <row r="115" spans="1:4" ht="15">
      <c r="A115" s="276" t="s">
        <v>620</v>
      </c>
      <c r="B115" s="277">
        <v>85551</v>
      </c>
      <c r="C115" s="277">
        <v>65617</v>
      </c>
      <c r="D115" s="278">
        <v>125397.44</v>
      </c>
    </row>
    <row r="116" spans="1:4" ht="30">
      <c r="A116" s="276" t="s">
        <v>592</v>
      </c>
      <c r="B116" s="277">
        <v>86244</v>
      </c>
      <c r="C116" s="277">
        <v>58377</v>
      </c>
      <c r="D116" s="278">
        <v>91115</v>
      </c>
    </row>
    <row r="117" spans="1:4" ht="45">
      <c r="A117" s="276" t="s">
        <v>621</v>
      </c>
      <c r="B117" s="277">
        <v>86481</v>
      </c>
      <c r="C117" s="277">
        <v>43616</v>
      </c>
      <c r="D117" s="278">
        <v>154458</v>
      </c>
    </row>
    <row r="118" spans="1:4" ht="60">
      <c r="A118" s="276" t="s">
        <v>622</v>
      </c>
      <c r="B118" s="277">
        <v>87462</v>
      </c>
      <c r="C118" s="277">
        <v>57592</v>
      </c>
      <c r="D118" s="278">
        <v>91379</v>
      </c>
    </row>
    <row r="119" spans="1:4" ht="30">
      <c r="A119" s="276" t="s">
        <v>565</v>
      </c>
      <c r="B119" s="277">
        <v>88191</v>
      </c>
      <c r="C119" s="277">
        <v>70308</v>
      </c>
      <c r="D119" s="278">
        <v>276371</v>
      </c>
    </row>
    <row r="120" spans="1:4" ht="45">
      <c r="A120" s="276" t="s">
        <v>623</v>
      </c>
      <c r="B120" s="277">
        <v>88468</v>
      </c>
      <c r="C120" s="277">
        <v>59047</v>
      </c>
      <c r="D120" s="278">
        <v>93812</v>
      </c>
    </row>
    <row r="121" spans="1:4" ht="30">
      <c r="A121" s="276" t="s">
        <v>565</v>
      </c>
      <c r="B121" s="277">
        <v>91161</v>
      </c>
      <c r="C121" s="277">
        <v>59024</v>
      </c>
      <c r="D121" s="278">
        <v>164900.15</v>
      </c>
    </row>
    <row r="122" spans="1:4" ht="30">
      <c r="A122" s="273" t="s">
        <v>624</v>
      </c>
      <c r="B122" s="274">
        <v>91393</v>
      </c>
      <c r="C122" s="274">
        <v>74024</v>
      </c>
      <c r="D122" s="275">
        <v>125285</v>
      </c>
    </row>
    <row r="123" spans="1:4" ht="15">
      <c r="A123" s="276" t="s">
        <v>616</v>
      </c>
      <c r="B123" s="277">
        <v>92485</v>
      </c>
      <c r="C123" s="277">
        <v>63784</v>
      </c>
      <c r="D123" s="278">
        <v>55140.9</v>
      </c>
    </row>
    <row r="124" spans="1:4" ht="60">
      <c r="A124" s="276" t="s">
        <v>625</v>
      </c>
      <c r="B124" s="277">
        <v>93578</v>
      </c>
      <c r="C124" s="277">
        <v>53803</v>
      </c>
      <c r="D124" s="278">
        <v>96218</v>
      </c>
    </row>
    <row r="125" spans="1:4" ht="15">
      <c r="A125" s="276" t="s">
        <v>596</v>
      </c>
      <c r="B125" s="277">
        <v>98418</v>
      </c>
      <c r="C125" s="277">
        <v>25638</v>
      </c>
      <c r="D125" s="278">
        <v>99240</v>
      </c>
    </row>
    <row r="126" spans="1:4" ht="30">
      <c r="A126" s="276" t="s">
        <v>626</v>
      </c>
      <c r="B126" s="277">
        <v>99078</v>
      </c>
      <c r="C126" s="277">
        <v>25125</v>
      </c>
      <c r="D126" s="278">
        <v>73960</v>
      </c>
    </row>
    <row r="127" spans="1:4" ht="45">
      <c r="A127" s="276" t="s">
        <v>627</v>
      </c>
      <c r="B127" s="277">
        <v>99288</v>
      </c>
      <c r="C127" s="277">
        <v>23016</v>
      </c>
      <c r="D127" s="278">
        <v>14364</v>
      </c>
    </row>
    <row r="128" spans="1:4" ht="30">
      <c r="A128" s="276" t="s">
        <v>628</v>
      </c>
      <c r="B128" s="277">
        <v>102360</v>
      </c>
      <c r="C128" s="277">
        <v>71067</v>
      </c>
      <c r="D128" s="278">
        <v>84720</v>
      </c>
    </row>
    <row r="129" spans="1:4" ht="30">
      <c r="A129" s="276" t="s">
        <v>592</v>
      </c>
      <c r="B129" s="277">
        <v>103307</v>
      </c>
      <c r="C129" s="277">
        <v>46976</v>
      </c>
      <c r="D129" s="278">
        <v>115059</v>
      </c>
    </row>
    <row r="130" spans="1:4" ht="45">
      <c r="A130" s="276" t="s">
        <v>629</v>
      </c>
      <c r="B130" s="277">
        <v>107609</v>
      </c>
      <c r="C130" s="277">
        <v>60714</v>
      </c>
      <c r="D130" s="278">
        <v>178296</v>
      </c>
    </row>
    <row r="131" spans="1:4" ht="45">
      <c r="A131" s="276" t="s">
        <v>630</v>
      </c>
      <c r="B131" s="277">
        <v>110160</v>
      </c>
      <c r="C131" s="277">
        <v>67803</v>
      </c>
      <c r="D131" s="278">
        <v>151576</v>
      </c>
    </row>
    <row r="132" spans="1:4" ht="75">
      <c r="A132" s="276" t="s">
        <v>631</v>
      </c>
      <c r="B132" s="277">
        <v>110660</v>
      </c>
      <c r="C132" s="277">
        <v>53117</v>
      </c>
      <c r="D132" s="278">
        <v>45307.26</v>
      </c>
    </row>
    <row r="133" spans="1:4" ht="60">
      <c r="A133" s="276" t="s">
        <v>632</v>
      </c>
      <c r="B133" s="277">
        <v>116091</v>
      </c>
      <c r="C133" s="277">
        <v>35157</v>
      </c>
      <c r="D133" s="278">
        <v>152633.04</v>
      </c>
    </row>
    <row r="134" spans="1:4" ht="15">
      <c r="A134" s="276" t="s">
        <v>620</v>
      </c>
      <c r="B134" s="277">
        <v>119765</v>
      </c>
      <c r="C134" s="277">
        <v>35225</v>
      </c>
      <c r="D134" s="278">
        <v>108264</v>
      </c>
    </row>
    <row r="135" spans="1:4" ht="30">
      <c r="A135" s="273" t="s">
        <v>564</v>
      </c>
      <c r="B135" s="274">
        <v>128977.52683158389</v>
      </c>
      <c r="C135" s="274">
        <v>42587.010803565485</v>
      </c>
      <c r="D135" s="281">
        <v>44427.550300000003</v>
      </c>
    </row>
    <row r="136" spans="1:4" ht="15">
      <c r="A136" s="276" t="s">
        <v>633</v>
      </c>
      <c r="B136" s="277">
        <v>130553</v>
      </c>
      <c r="C136" s="277">
        <v>81618</v>
      </c>
      <c r="D136" s="278">
        <v>146348</v>
      </c>
    </row>
    <row r="137" spans="1:4" ht="15">
      <c r="A137" s="276" t="s">
        <v>596</v>
      </c>
      <c r="B137" s="277">
        <v>131638</v>
      </c>
      <c r="C137" s="277">
        <v>67833</v>
      </c>
      <c r="D137" s="278">
        <v>109525</v>
      </c>
    </row>
    <row r="138" spans="1:4" ht="60">
      <c r="A138" s="276" t="s">
        <v>634</v>
      </c>
      <c r="B138" s="277">
        <v>136954</v>
      </c>
      <c r="C138" s="277">
        <v>87975</v>
      </c>
      <c r="D138" s="278">
        <v>97311</v>
      </c>
    </row>
    <row r="139" spans="1:4" ht="30">
      <c r="A139" s="276" t="s">
        <v>635</v>
      </c>
      <c r="B139" s="277">
        <v>140045</v>
      </c>
      <c r="C139" s="277">
        <v>33149</v>
      </c>
      <c r="D139" s="278">
        <v>13624</v>
      </c>
    </row>
    <row r="140" spans="1:4" ht="60">
      <c r="A140" s="276" t="s">
        <v>636</v>
      </c>
      <c r="B140" s="277">
        <v>140359</v>
      </c>
      <c r="C140" s="277">
        <v>55377</v>
      </c>
      <c r="D140" s="278">
        <v>32548</v>
      </c>
    </row>
    <row r="141" spans="1:4" ht="30">
      <c r="A141" s="276" t="s">
        <v>592</v>
      </c>
      <c r="B141" s="277">
        <v>141441</v>
      </c>
      <c r="C141" s="277">
        <v>44124</v>
      </c>
      <c r="D141" s="278">
        <v>177415</v>
      </c>
    </row>
    <row r="142" spans="1:4" ht="15">
      <c r="A142" s="276" t="s">
        <v>596</v>
      </c>
      <c r="B142" s="277">
        <v>147227</v>
      </c>
      <c r="C142" s="277">
        <v>58148</v>
      </c>
      <c r="D142" s="278">
        <v>96505</v>
      </c>
    </row>
    <row r="143" spans="1:4" ht="45">
      <c r="A143" s="273" t="s">
        <v>637</v>
      </c>
      <c r="B143" s="274">
        <v>155534</v>
      </c>
      <c r="C143" s="274">
        <v>33715</v>
      </c>
      <c r="D143" s="275">
        <v>167850</v>
      </c>
    </row>
    <row r="144" spans="1:4" ht="15">
      <c r="A144" s="276" t="s">
        <v>596</v>
      </c>
      <c r="B144" s="277">
        <v>158293</v>
      </c>
      <c r="C144" s="277">
        <v>17521</v>
      </c>
      <c r="D144" s="278">
        <v>165925</v>
      </c>
    </row>
    <row r="145" spans="1:4" ht="75">
      <c r="A145" s="273" t="s">
        <v>638</v>
      </c>
      <c r="B145" s="274">
        <v>175705</v>
      </c>
      <c r="C145" s="274">
        <v>110824</v>
      </c>
      <c r="D145" s="275">
        <v>161150</v>
      </c>
    </row>
    <row r="146" spans="1:4" ht="45">
      <c r="A146" s="276" t="s">
        <v>639</v>
      </c>
      <c r="B146" s="277">
        <v>215424</v>
      </c>
      <c r="C146" s="277">
        <v>102122</v>
      </c>
      <c r="D146" s="278">
        <v>144038.17000000001</v>
      </c>
    </row>
    <row r="147" spans="1:4" ht="30">
      <c r="A147" s="273" t="s">
        <v>564</v>
      </c>
      <c r="B147" s="274">
        <v>280290.1421287905</v>
      </c>
      <c r="C147" s="274">
        <v>27284.881092183146</v>
      </c>
      <c r="D147" s="275">
        <v>35240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dimension ref="A1:BD54"/>
  <sheetViews>
    <sheetView workbookViewId="0">
      <selection activeCell="C10" sqref="C10"/>
    </sheetView>
  </sheetViews>
  <sheetFormatPr defaultRowHeight="12.75"/>
  <cols>
    <col min="1" max="2" width="21.85546875" style="290" customWidth="1"/>
    <col min="3" max="3" width="40.28515625" style="290" bestFit="1" customWidth="1"/>
    <col min="4" max="4" width="12.28515625" style="290" bestFit="1" customWidth="1"/>
    <col min="5" max="5" width="30.5703125" style="290" bestFit="1" customWidth="1"/>
    <col min="6" max="16384" width="9.140625" style="290"/>
  </cols>
  <sheetData>
    <row r="1" spans="1:56" ht="15.75" thickBot="1">
      <c r="A1" s="282" t="s">
        <v>676</v>
      </c>
      <c r="B1" s="282" t="s">
        <v>677</v>
      </c>
      <c r="C1" s="282" t="s">
        <v>678</v>
      </c>
      <c r="D1" s="282" t="s">
        <v>679</v>
      </c>
      <c r="E1" s="282" t="s">
        <v>680</v>
      </c>
      <c r="F1" s="282" t="s">
        <v>681</v>
      </c>
      <c r="G1" s="282" t="s">
        <v>682</v>
      </c>
      <c r="H1" s="282" t="s">
        <v>683</v>
      </c>
      <c r="I1" s="282" t="s">
        <v>684</v>
      </c>
      <c r="J1" s="282" t="s">
        <v>36</v>
      </c>
      <c r="K1" s="283">
        <v>2016</v>
      </c>
      <c r="L1" s="284">
        <v>2017</v>
      </c>
      <c r="M1" s="284">
        <v>2018</v>
      </c>
      <c r="N1" s="284">
        <v>2019</v>
      </c>
      <c r="O1" s="284">
        <v>2020</v>
      </c>
      <c r="P1" s="284">
        <v>2021</v>
      </c>
      <c r="Q1" s="284">
        <v>2022</v>
      </c>
      <c r="R1" s="284">
        <v>2023</v>
      </c>
      <c r="S1" s="284">
        <v>2024</v>
      </c>
      <c r="T1" s="284">
        <v>2025</v>
      </c>
      <c r="U1" s="284">
        <v>2026</v>
      </c>
      <c r="V1" s="284">
        <v>2027</v>
      </c>
      <c r="W1" s="284">
        <v>2028</v>
      </c>
      <c r="X1" s="284">
        <v>2029</v>
      </c>
      <c r="Y1" s="284">
        <v>2030</v>
      </c>
      <c r="Z1" s="284">
        <v>2031</v>
      </c>
      <c r="AA1" s="284">
        <v>2032</v>
      </c>
      <c r="AB1" s="284">
        <v>2033</v>
      </c>
      <c r="AC1" s="284">
        <v>2034</v>
      </c>
      <c r="AD1" s="284">
        <v>2035</v>
      </c>
      <c r="AE1" s="285" t="s">
        <v>31</v>
      </c>
      <c r="AF1" s="286" t="s">
        <v>644</v>
      </c>
      <c r="AG1" s="287"/>
      <c r="AH1" s="287"/>
      <c r="AI1" s="287"/>
      <c r="AJ1" s="287"/>
      <c r="AK1" s="287"/>
      <c r="AL1" s="287"/>
      <c r="AM1" s="287"/>
      <c r="AN1" s="287"/>
      <c r="AO1" s="287"/>
      <c r="AP1" s="287"/>
      <c r="AQ1" s="288"/>
      <c r="AR1" s="289"/>
      <c r="AS1" s="286" t="s">
        <v>645</v>
      </c>
      <c r="AT1" s="287"/>
      <c r="AU1" s="287"/>
      <c r="AV1" s="287"/>
      <c r="AW1" s="287"/>
      <c r="AX1" s="287"/>
      <c r="AY1" s="287"/>
      <c r="AZ1" s="287"/>
      <c r="BA1" s="287"/>
      <c r="BB1" s="287"/>
      <c r="BC1" s="287"/>
      <c r="BD1" s="288"/>
    </row>
    <row r="2" spans="1:56" ht="15">
      <c r="A2" s="282"/>
      <c r="B2" s="282"/>
      <c r="C2" s="282"/>
      <c r="D2" s="282"/>
      <c r="E2" s="282"/>
      <c r="F2" s="282" t="s">
        <v>646</v>
      </c>
      <c r="G2" s="282" t="s">
        <v>22</v>
      </c>
      <c r="H2" s="282" t="s">
        <v>35</v>
      </c>
      <c r="I2" s="282">
        <v>1</v>
      </c>
      <c r="J2" s="282"/>
      <c r="K2" s="291" t="str">
        <f t="shared" ref="K2:AD2" si="0">CONCATENATE("aMW_",K$1)</f>
        <v>aMW_2016</v>
      </c>
      <c r="L2" s="292" t="str">
        <f t="shared" si="0"/>
        <v>aMW_2017</v>
      </c>
      <c r="M2" s="292" t="str">
        <f t="shared" si="0"/>
        <v>aMW_2018</v>
      </c>
      <c r="N2" s="292" t="str">
        <f t="shared" si="0"/>
        <v>aMW_2019</v>
      </c>
      <c r="O2" s="292" t="str">
        <f t="shared" si="0"/>
        <v>aMW_2020</v>
      </c>
      <c r="P2" s="292" t="str">
        <f t="shared" si="0"/>
        <v>aMW_2021</v>
      </c>
      <c r="Q2" s="292" t="str">
        <f t="shared" si="0"/>
        <v>aMW_2022</v>
      </c>
      <c r="R2" s="292" t="str">
        <f t="shared" si="0"/>
        <v>aMW_2023</v>
      </c>
      <c r="S2" s="292" t="str">
        <f t="shared" si="0"/>
        <v>aMW_2024</v>
      </c>
      <c r="T2" s="292" t="str">
        <f t="shared" si="0"/>
        <v>aMW_2025</v>
      </c>
      <c r="U2" s="292" t="str">
        <f t="shared" si="0"/>
        <v>aMW_2026</v>
      </c>
      <c r="V2" s="292" t="str">
        <f t="shared" si="0"/>
        <v>aMW_2027</v>
      </c>
      <c r="W2" s="292" t="str">
        <f t="shared" si="0"/>
        <v>aMW_2028</v>
      </c>
      <c r="X2" s="292" t="str">
        <f t="shared" si="0"/>
        <v>aMW_2029</v>
      </c>
      <c r="Y2" s="292" t="str">
        <f t="shared" si="0"/>
        <v>aMW_2030</v>
      </c>
      <c r="Z2" s="292" t="str">
        <f t="shared" si="0"/>
        <v>aMW_2031</v>
      </c>
      <c r="AA2" s="292" t="str">
        <f t="shared" si="0"/>
        <v>aMW_2032</v>
      </c>
      <c r="AB2" s="292" t="str">
        <f t="shared" si="0"/>
        <v>aMW_2033</v>
      </c>
      <c r="AC2" s="292" t="str">
        <f t="shared" si="0"/>
        <v>aMW_2034</v>
      </c>
      <c r="AD2" s="292" t="str">
        <f t="shared" si="0"/>
        <v>aMW_2035</v>
      </c>
      <c r="AE2" s="293" t="s">
        <v>31</v>
      </c>
      <c r="AF2" s="294" t="s">
        <v>340</v>
      </c>
      <c r="AG2" s="294" t="s">
        <v>341</v>
      </c>
      <c r="AH2" s="294" t="s">
        <v>342</v>
      </c>
      <c r="AI2" s="294" t="s">
        <v>343</v>
      </c>
      <c r="AJ2" s="294" t="s">
        <v>344</v>
      </c>
      <c r="AK2" s="294" t="s">
        <v>345</v>
      </c>
      <c r="AL2" s="294" t="s">
        <v>346</v>
      </c>
      <c r="AM2" s="294" t="s">
        <v>347</v>
      </c>
      <c r="AN2" s="294" t="s">
        <v>348</v>
      </c>
      <c r="AO2" s="294" t="s">
        <v>349</v>
      </c>
      <c r="AP2" s="294" t="s">
        <v>350</v>
      </c>
      <c r="AQ2" s="294" t="s">
        <v>351</v>
      </c>
      <c r="AR2" s="294"/>
      <c r="AS2" s="294" t="s">
        <v>340</v>
      </c>
      <c r="AT2" s="294" t="s">
        <v>341</v>
      </c>
      <c r="AU2" s="294" t="s">
        <v>342</v>
      </c>
      <c r="AV2" s="294" t="s">
        <v>343</v>
      </c>
      <c r="AW2" s="294" t="s">
        <v>344</v>
      </c>
      <c r="AX2" s="294" t="s">
        <v>345</v>
      </c>
      <c r="AY2" s="294" t="s">
        <v>346</v>
      </c>
      <c r="AZ2" s="294" t="s">
        <v>347</v>
      </c>
      <c r="BA2" s="294" t="s">
        <v>348</v>
      </c>
      <c r="BB2" s="294" t="s">
        <v>349</v>
      </c>
      <c r="BC2" s="294" t="s">
        <v>350</v>
      </c>
      <c r="BD2" s="294" t="s">
        <v>351</v>
      </c>
    </row>
    <row r="3" spans="1:56" ht="15">
      <c r="A3" s="295" t="str">
        <f>VLOOKUP(CONCATENATE($C3," - ",$B3),[2]ACHIEV!$B$17:$C$50,2,FALSE)</f>
        <v>Retro1Slow</v>
      </c>
      <c r="B3" s="295" t="str">
        <f>'SC-Retro'!$C$7</f>
        <v>Retro</v>
      </c>
      <c r="C3" s="295" t="str">
        <f>'SC-Retro'!$C$8</f>
        <v>Irrigation Pressure</v>
      </c>
      <c r="D3" s="295" t="s">
        <v>685</v>
      </c>
      <c r="E3" s="295" t="str">
        <f>'SC-Retro'!$A$9</f>
        <v>Irrigation</v>
      </c>
      <c r="F3" s="296">
        <f t="shared" ref="F3:F18" si="1">VLOOKUP(CONCATENATE($I3," - ",$J3),MeasureOutput,14,FALSE)</f>
        <v>7.6552819841252276E-4</v>
      </c>
      <c r="G3" s="297">
        <f>'SC-Retro'!A81</f>
        <v>287.81138859551851</v>
      </c>
      <c r="H3" s="297">
        <f>'SC-Retro'!B81</f>
        <v>14.037789073160434</v>
      </c>
      <c r="I3" s="298" t="str">
        <f>'SC-Retro'!C81</f>
        <v>Convert Medium Pressure Center Pivot to Low pressure system</v>
      </c>
      <c r="J3" s="298" t="str">
        <f>'SC-Retro'!D81</f>
        <v>Idaho</v>
      </c>
      <c r="K3" s="299">
        <f>'SC-Retro'!E81</f>
        <v>1.7953503813037279E-2</v>
      </c>
      <c r="L3" s="299">
        <f>'SC-Retro'!F81</f>
        <v>3.5892363973992633E-2</v>
      </c>
      <c r="M3" s="299">
        <f>'SC-Retro'!G81</f>
        <v>6.3739590988878866E-2</v>
      </c>
      <c r="N3" s="299">
        <f>'SC-Retro'!H81</f>
        <v>0.10374464517948984</v>
      </c>
      <c r="O3" s="299">
        <f>'SC-Retro'!I81</f>
        <v>0.15760865538114188</v>
      </c>
      <c r="P3" s="299">
        <f>'SC-Retro'!J81</f>
        <v>0.22598213325745675</v>
      </c>
      <c r="Q3" s="299">
        <f>'SC-Retro'!K81</f>
        <v>0.30778870523301077</v>
      </c>
      <c r="R3" s="299">
        <f>'SC-Retro'!L81</f>
        <v>0.39958008032674286</v>
      </c>
      <c r="S3" s="299">
        <f>'SC-Retro'!M81</f>
        <v>0.49499622375591279</v>
      </c>
      <c r="T3" s="299">
        <f>'SC-Retro'!N81</f>
        <v>0.58472240070891979</v>
      </c>
      <c r="U3" s="299">
        <f>'SC-Retro'!O81</f>
        <v>0.65722033305288263</v>
      </c>
      <c r="V3" s="299">
        <f>'SC-Retro'!P81</f>
        <v>0.70051349170354449</v>
      </c>
      <c r="W3" s="299">
        <f>'SC-Retro'!Q81</f>
        <v>0.70486715607403194</v>
      </c>
      <c r="X3" s="299">
        <f>'SC-Retro'!R81</f>
        <v>0.66587018357610905</v>
      </c>
      <c r="Y3" s="299">
        <f>'SC-Retro'!S81</f>
        <v>0.58674421513839292</v>
      </c>
      <c r="Z3" s="299">
        <f>'SC-Retro'!T81</f>
        <v>0.4786995607797121</v>
      </c>
      <c r="AA3" s="299">
        <f>'SC-Retro'!U81</f>
        <v>0.3586440678310901</v>
      </c>
      <c r="AB3" s="299">
        <f>'SC-Retro'!V81</f>
        <v>0.24450101317623357</v>
      </c>
      <c r="AC3" s="299">
        <f>'SC-Retro'!W81</f>
        <v>0.15017098497316114</v>
      </c>
      <c r="AD3" s="299">
        <f>'SC-Retro'!X81</f>
        <v>7.222064256767656E-2</v>
      </c>
      <c r="AE3" s="299">
        <f>'SC-Retro'!Y81</f>
        <v>7.2220642567676565</v>
      </c>
      <c r="AF3" s="300">
        <f t="shared" ref="AF3:AF18" si="2">VLOOKUP(CONCATENATE($I3," - ",$J3),MeasureOutput,15,FALSE)</f>
        <v>0</v>
      </c>
      <c r="AG3" s="300">
        <f t="shared" ref="AG3:AG18" si="3">VLOOKUP(CONCATENATE($I3," - ",$J3),MeasureOutput,16,FALSE)</f>
        <v>1.008255977214933E-2</v>
      </c>
      <c r="AH3" s="300">
        <f t="shared" ref="AH3:AH18" si="4">VLOOKUP(CONCATENATE($I3," - ",$J3),MeasureOutput,17,FALSE)</f>
        <v>0.55513712492856548</v>
      </c>
      <c r="AI3" s="300">
        <f t="shared" ref="AI3:AI18" si="5">VLOOKUP(CONCATENATE($I3," - ",$J3),MeasureOutput,18,FALSE)</f>
        <v>6.6869254534631617</v>
      </c>
      <c r="AJ3" s="300">
        <f t="shared" ref="AJ3:AJ18" si="6">VLOOKUP(CONCATENATE($I3," - ",$J3),MeasureOutput,19,FALSE)</f>
        <v>26.48659098250705</v>
      </c>
      <c r="AK3" s="300">
        <f t="shared" ref="AK3:AK18" si="7">VLOOKUP(CONCATENATE($I3," - ",$J3),MeasureOutput,20,FALSE)</f>
        <v>35.10347390785504</v>
      </c>
      <c r="AL3" s="300">
        <f t="shared" ref="AL3:AL18" si="8">VLOOKUP(CONCATENATE($I3," - ",$J3),MeasureOutput,21,FALSE)</f>
        <v>33.984500621151476</v>
      </c>
      <c r="AM3" s="300">
        <f t="shared" ref="AM3:AM18" si="9">VLOOKUP(CONCATENATE($I3," - ",$J3),MeasureOutput,22,FALSE)</f>
        <v>34.47081556530798</v>
      </c>
      <c r="AN3" s="300">
        <f t="shared" ref="AN3:AN18" si="10">VLOOKUP(CONCATENATE($I3," - ",$J3),MeasureOutput,23,FALSE)</f>
        <v>16.205133725617088</v>
      </c>
      <c r="AO3" s="300">
        <f t="shared" ref="AO3:AO18" si="11">VLOOKUP(CONCATENATE($I3," - ",$J3),MeasureOutput,24,FALSE)</f>
        <v>9.3184002668637156</v>
      </c>
      <c r="AP3" s="300">
        <f t="shared" ref="AP3:AP18" si="12">VLOOKUP(CONCATENATE($I3," - ",$J3),MeasureOutput,25,FALSE)</f>
        <v>2.6336951057061651</v>
      </c>
      <c r="AQ3" s="300">
        <f t="shared" ref="AQ3:AQ18" si="13">VLOOKUP(CONCATENATE($I3," - ",$J3),MeasureOutput,26,FALSE)</f>
        <v>1.8047225210969745E-2</v>
      </c>
      <c r="AR3" s="300"/>
      <c r="AS3" s="300">
        <f t="shared" ref="AS3:AS18" si="14">VLOOKUP(CONCATENATE($I3," - ",$J3),MeasureOutput,28,FALSE)</f>
        <v>0</v>
      </c>
      <c r="AT3" s="300">
        <f t="shared" ref="AT3:AT18" si="15">VLOOKUP(CONCATENATE($I3," - ",$J3),MeasureOutput,29,FALSE)</f>
        <v>6.895243131690835E-3</v>
      </c>
      <c r="AU3" s="300">
        <f t="shared" ref="AU3:AU18" si="16">VLOOKUP(CONCATENATE($I3," - ",$J3),MeasureOutput,30,FALSE)</f>
        <v>0.20469528028669567</v>
      </c>
      <c r="AV3" s="300">
        <f t="shared" ref="AV3:AV18" si="17">VLOOKUP(CONCATENATE($I3," - ",$J3),MeasureOutput,31,FALSE)</f>
        <v>4.406983705392304</v>
      </c>
      <c r="AW3" s="300">
        <f t="shared" ref="AW3:AW18" si="18">VLOOKUP(CONCATENATE($I3," - ",$J3),MeasureOutput,32,FALSE)</f>
        <v>17.174591788406634</v>
      </c>
      <c r="AX3" s="300">
        <f t="shared" ref="AX3:AX18" si="19">VLOOKUP(CONCATENATE($I3," - ",$J3),MeasureOutput,33,FALSE)</f>
        <v>25.803696260985042</v>
      </c>
      <c r="AY3" s="300">
        <f t="shared" ref="AY3:AY18" si="20">VLOOKUP(CONCATENATE($I3," - ",$J3),MeasureOutput,34,FALSE)</f>
        <v>29.268944895527603</v>
      </c>
      <c r="AZ3" s="300">
        <f t="shared" ref="AZ3:AZ18" si="21">VLOOKUP(CONCATENATE($I3," - ",$J3),MeasureOutput,35,FALSE)</f>
        <v>25.067942188355659</v>
      </c>
      <c r="BA3" s="300">
        <f t="shared" ref="BA3:BA18" si="22">VLOOKUP(CONCATENATE($I3," - ",$J3),MeasureOutput,36,FALSE)</f>
        <v>12.970621691165579</v>
      </c>
      <c r="BB3" s="300">
        <f t="shared" ref="BB3:BB18" si="23">VLOOKUP(CONCATENATE($I3," - ",$J3),MeasureOutput,37,FALSE)</f>
        <v>6.1213738272045468</v>
      </c>
      <c r="BC3" s="300">
        <f t="shared" ref="BC3:BC18" si="24">VLOOKUP(CONCATENATE($I3," - ",$J3),MeasureOutput,38,FALSE)</f>
        <v>1.2995043391260872</v>
      </c>
      <c r="BD3" s="300">
        <f t="shared" ref="BD3:BD18" si="25">VLOOKUP(CONCATENATE($I3," - ",$J3),MeasureOutput,39,FALSE)</f>
        <v>1.3336837553274469E-2</v>
      </c>
    </row>
    <row r="4" spans="1:56" ht="15">
      <c r="A4" s="295" t="str">
        <f>VLOOKUP(CONCATENATE($C4," - ",$B4),[2]ACHIEV!$B$17:$C$50,2,FALSE)</f>
        <v>Retro1Slow</v>
      </c>
      <c r="B4" s="295" t="str">
        <f>'SC-Retro'!$C$7</f>
        <v>Retro</v>
      </c>
      <c r="C4" s="295" t="str">
        <f>'SC-Retro'!$C$8</f>
        <v>Irrigation Pressure</v>
      </c>
      <c r="D4" s="295" t="s">
        <v>685</v>
      </c>
      <c r="E4" s="295" t="str">
        <f>'SC-Retro'!$A$9</f>
        <v>Irrigation</v>
      </c>
      <c r="F4" s="296">
        <f t="shared" si="1"/>
        <v>1.3336260123209538E-3</v>
      </c>
      <c r="G4" s="297">
        <f>'SC-Retro'!A82</f>
        <v>501.3959711335944</v>
      </c>
      <c r="H4" s="297">
        <f>'SC-Retro'!B82</f>
        <v>19.230940400322673</v>
      </c>
      <c r="I4" s="298" t="str">
        <f>'SC-Retro'!C82</f>
        <v>Convert High Pressure Center Pivot to Low pressure system</v>
      </c>
      <c r="J4" s="298" t="str">
        <f>'SC-Retro'!D82</f>
        <v>Idaho</v>
      </c>
      <c r="K4" s="299">
        <f>'SC-Retro'!E82</f>
        <v>7.339760433386632E-3</v>
      </c>
      <c r="L4" s="299">
        <f>'SC-Retro'!F82</f>
        <v>1.4673534241584638E-2</v>
      </c>
      <c r="M4" s="299">
        <f>'SC-Retro'!G82</f>
        <v>2.6058051556526487E-2</v>
      </c>
      <c r="N4" s="299">
        <f>'SC-Retro'!H82</f>
        <v>4.241293787517985E-2</v>
      </c>
      <c r="O4" s="299">
        <f>'SC-Retro'!I82</f>
        <v>6.4433649541196236E-2</v>
      </c>
      <c r="P4" s="299">
        <f>'SC-Retro'!J82</f>
        <v>9.2386129059160188E-2</v>
      </c>
      <c r="Q4" s="299">
        <f>'SC-Retro'!K82</f>
        <v>0.12583033284411418</v>
      </c>
      <c r="R4" s="299">
        <f>'SC-Retro'!L82</f>
        <v>0.163356528847698</v>
      </c>
      <c r="S4" s="299">
        <f>'SC-Retro'!M82</f>
        <v>0.20236460446017021</v>
      </c>
      <c r="T4" s="299">
        <f>'SC-Retro'!N82</f>
        <v>0.23904650512406703</v>
      </c>
      <c r="U4" s="299">
        <f>'SC-Retro'!O82</f>
        <v>0.26868514618610612</v>
      </c>
      <c r="V4" s="299">
        <f>'SC-Retro'!P82</f>
        <v>0.28638427701925906</v>
      </c>
      <c r="W4" s="299">
        <f>'SC-Retro'!Q82</f>
        <v>0.28816414427077258</v>
      </c>
      <c r="X4" s="299">
        <f>'SC-Retro'!R82</f>
        <v>0.27222138241532512</v>
      </c>
      <c r="Y4" s="299">
        <f>'SC-Retro'!S82</f>
        <v>0.23987306431316091</v>
      </c>
      <c r="Z4" s="299">
        <f>'SC-Retro'!T82</f>
        <v>0.19570219452868395</v>
      </c>
      <c r="AA4" s="299">
        <f>'SC-Retro'!U82</f>
        <v>0.1466210476878573</v>
      </c>
      <c r="AB4" s="299">
        <f>'SC-Retro'!V82</f>
        <v>9.9957026835658436E-2</v>
      </c>
      <c r="AC4" s="299">
        <f>'SC-Retro'!W82</f>
        <v>6.1392977394658162E-2</v>
      </c>
      <c r="AD4" s="299">
        <f>'SC-Retro'!X82</f>
        <v>2.9525279316623517E-2</v>
      </c>
      <c r="AE4" s="299">
        <f>'SC-Retro'!Y82</f>
        <v>2.9525279316623521</v>
      </c>
      <c r="AF4" s="300">
        <f t="shared" si="2"/>
        <v>0</v>
      </c>
      <c r="AG4" s="300">
        <f t="shared" si="3"/>
        <v>1.7564818658284471E-2</v>
      </c>
      <c r="AH4" s="300">
        <f t="shared" si="4"/>
        <v>0.96710390517953138</v>
      </c>
      <c r="AI4" s="300">
        <f t="shared" si="5"/>
        <v>11.649287048710342</v>
      </c>
      <c r="AJ4" s="300">
        <f t="shared" si="6"/>
        <v>46.142267241398564</v>
      </c>
      <c r="AK4" s="300">
        <f t="shared" si="7"/>
        <v>61.153731532588253</v>
      </c>
      <c r="AL4" s="300">
        <f t="shared" si="8"/>
        <v>59.204369137663136</v>
      </c>
      <c r="AM4" s="300">
        <f t="shared" si="9"/>
        <v>60.051577981246488</v>
      </c>
      <c r="AN4" s="300">
        <f t="shared" si="10"/>
        <v>28.230949446981192</v>
      </c>
      <c r="AO4" s="300">
        <f t="shared" si="11"/>
        <v>16.233577045076071</v>
      </c>
      <c r="AP4" s="300">
        <f t="shared" si="12"/>
        <v>4.5881579656709217</v>
      </c>
      <c r="AQ4" s="300">
        <f t="shared" si="13"/>
        <v>3.1440055430321363E-2</v>
      </c>
      <c r="AR4" s="300"/>
      <c r="AS4" s="300">
        <f t="shared" si="14"/>
        <v>0</v>
      </c>
      <c r="AT4" s="300">
        <f t="shared" si="15"/>
        <v>1.2012197095769148E-2</v>
      </c>
      <c r="AU4" s="300">
        <f t="shared" si="16"/>
        <v>0.35659947073897402</v>
      </c>
      <c r="AV4" s="300">
        <f t="shared" si="17"/>
        <v>7.6774025014015947</v>
      </c>
      <c r="AW4" s="300">
        <f t="shared" si="18"/>
        <v>29.919841499646914</v>
      </c>
      <c r="AX4" s="300">
        <f t="shared" si="19"/>
        <v>44.952596937695844</v>
      </c>
      <c r="AY4" s="300">
        <f t="shared" si="20"/>
        <v>50.989403586711411</v>
      </c>
      <c r="AZ4" s="300">
        <f t="shared" si="21"/>
        <v>43.670840404148962</v>
      </c>
      <c r="BA4" s="300">
        <f t="shared" si="22"/>
        <v>22.596108829411673</v>
      </c>
      <c r="BB4" s="300">
        <f t="shared" si="23"/>
        <v>10.664040049771616</v>
      </c>
      <c r="BC4" s="300">
        <f t="shared" si="24"/>
        <v>2.263865385202446</v>
      </c>
      <c r="BD4" s="300">
        <f t="shared" si="25"/>
        <v>2.3234093166037997E-2</v>
      </c>
    </row>
    <row r="5" spans="1:56" ht="15">
      <c r="A5" s="295" t="str">
        <f>VLOOKUP(CONCATENATE($C5," - ",$B5),[2]ACHIEV!$B$17:$C$50,2,FALSE)</f>
        <v>Retro1Slow</v>
      </c>
      <c r="B5" s="295" t="str">
        <f>'SC-Retro'!$C$7</f>
        <v>Retro</v>
      </c>
      <c r="C5" s="295" t="str">
        <f>'SC-Retro'!$C$8</f>
        <v>Irrigation Pressure</v>
      </c>
      <c r="D5" s="295" t="s">
        <v>685</v>
      </c>
      <c r="E5" s="295" t="str">
        <f>'SC-Retro'!$A$9</f>
        <v>Irrigation</v>
      </c>
      <c r="F5" s="296">
        <f t="shared" si="1"/>
        <v>7.2489293788052139E-4</v>
      </c>
      <c r="G5" s="297">
        <f>'SC-Retro'!A83</f>
        <v>272.53397519140287</v>
      </c>
      <c r="H5" s="297">
        <f>'SC-Retro'!B83</f>
        <v>110.21371749662713</v>
      </c>
      <c r="I5" s="298" t="str">
        <f>'SC-Retro'!C83</f>
        <v>Convert wheel line systems to low pressure systems on alfalfa acreage</v>
      </c>
      <c r="J5" s="298" t="str">
        <f>'SC-Retro'!D83</f>
        <v>Idaho</v>
      </c>
      <c r="K5" s="299">
        <f>'SC-Retro'!E83</f>
        <v>3.9003626137243353E-3</v>
      </c>
      <c r="L5" s="299">
        <f>'SC-Retro'!F83</f>
        <v>7.7975439234701533E-3</v>
      </c>
      <c r="M5" s="299">
        <f>'SC-Retro'!G83</f>
        <v>1.3847298014695749E-2</v>
      </c>
      <c r="N5" s="299">
        <f>'SC-Retro'!H83</f>
        <v>2.2538315620505251E-2</v>
      </c>
      <c r="O5" s="299">
        <f>'SC-Retro'!I83</f>
        <v>3.4240163560806988E-2</v>
      </c>
      <c r="P5" s="299">
        <f>'SC-Retro'!J83</f>
        <v>4.9094164186881485E-2</v>
      </c>
      <c r="Q5" s="299">
        <f>'SC-Retro'!K83</f>
        <v>6.68664775031656E-2</v>
      </c>
      <c r="R5" s="299">
        <f>'SC-Retro'!L83</f>
        <v>8.6807969225687037E-2</v>
      </c>
      <c r="S5" s="299">
        <f>'SC-Retro'!M83</f>
        <v>0.107536934582669</v>
      </c>
      <c r="T5" s="299">
        <f>'SC-Retro'!N83</f>
        <v>0.1270297661605245</v>
      </c>
      <c r="U5" s="299">
        <f>'SC-Retro'!O83</f>
        <v>0.14277979622882633</v>
      </c>
      <c r="V5" s="299">
        <f>'SC-Retro'!P83</f>
        <v>0.15218514791892135</v>
      </c>
      <c r="W5" s="299">
        <f>'SC-Retro'!Q83</f>
        <v>0.15313097275178897</v>
      </c>
      <c r="X5" s="299">
        <f>'SC-Retro'!R83</f>
        <v>0.14465895886729674</v>
      </c>
      <c r="Y5" s="299">
        <f>'SC-Retro'!S83</f>
        <v>0.12746900128112973</v>
      </c>
      <c r="Z5" s="299">
        <f>'SC-Retro'!T83</f>
        <v>0.10399651731020984</v>
      </c>
      <c r="AA5" s="299">
        <f>'SC-Retro'!U83</f>
        <v>7.7914702799494931E-2</v>
      </c>
      <c r="AB5" s="299">
        <f>'SC-Retro'!V83</f>
        <v>5.3117353623073675E-2</v>
      </c>
      <c r="AC5" s="299">
        <f>'SC-Retro'!W83</f>
        <v>3.2624344615681325E-2</v>
      </c>
      <c r="AD5" s="299">
        <f>'SC-Retro'!X83</f>
        <v>1.5689789421804219E-2</v>
      </c>
      <c r="AE5" s="299">
        <f>'SC-Retro'!Y83</f>
        <v>1.5689789421804219</v>
      </c>
      <c r="AF5" s="300">
        <f t="shared" si="2"/>
        <v>0</v>
      </c>
      <c r="AG5" s="300">
        <f t="shared" si="3"/>
        <v>9.5473640157808844E-3</v>
      </c>
      <c r="AH5" s="300">
        <f t="shared" si="4"/>
        <v>0.52566970393840817</v>
      </c>
      <c r="AI5" s="300">
        <f t="shared" si="5"/>
        <v>6.3319745077984253</v>
      </c>
      <c r="AJ5" s="300">
        <f t="shared" si="6"/>
        <v>25.080647311966064</v>
      </c>
      <c r="AK5" s="300">
        <f t="shared" si="7"/>
        <v>33.240134568060625</v>
      </c>
      <c r="AL5" s="300">
        <f t="shared" si="8"/>
        <v>32.180557879846624</v>
      </c>
      <c r="AM5" s="300">
        <f t="shared" si="9"/>
        <v>32.641058576405996</v>
      </c>
      <c r="AN5" s="300">
        <f t="shared" si="10"/>
        <v>15.344943555925228</v>
      </c>
      <c r="AO5" s="300">
        <f t="shared" si="11"/>
        <v>8.8237671189657068</v>
      </c>
      <c r="AP5" s="300">
        <f t="shared" si="12"/>
        <v>2.4938950473880572</v>
      </c>
      <c r="AQ5" s="300">
        <f t="shared" si="13"/>
        <v>1.7089254361759731E-2</v>
      </c>
      <c r="AR5" s="300"/>
      <c r="AS5" s="300">
        <f t="shared" si="14"/>
        <v>0</v>
      </c>
      <c r="AT5" s="300">
        <f t="shared" si="15"/>
        <v>6.5292344050772626E-3</v>
      </c>
      <c r="AU5" s="300">
        <f t="shared" si="16"/>
        <v>0.19382978106489085</v>
      </c>
      <c r="AV5" s="300">
        <f t="shared" si="17"/>
        <v>4.1730551167390608</v>
      </c>
      <c r="AW5" s="300">
        <f t="shared" si="18"/>
        <v>16.262941488261063</v>
      </c>
      <c r="AX5" s="300">
        <f t="shared" si="19"/>
        <v>24.434001555514865</v>
      </c>
      <c r="AY5" s="300">
        <f t="shared" si="20"/>
        <v>27.715310158371071</v>
      </c>
      <c r="AZ5" s="300">
        <f t="shared" si="21"/>
        <v>23.737302293003221</v>
      </c>
      <c r="BA5" s="300">
        <f t="shared" si="22"/>
        <v>12.282123745857339</v>
      </c>
      <c r="BB5" s="300">
        <f t="shared" si="23"/>
        <v>5.7964431181881428</v>
      </c>
      <c r="BC5" s="300">
        <f t="shared" si="24"/>
        <v>1.2305249109451815</v>
      </c>
      <c r="BD5" s="300">
        <f t="shared" si="25"/>
        <v>1.2628900380255732E-2</v>
      </c>
    </row>
    <row r="6" spans="1:56" ht="15">
      <c r="A6" s="295" t="str">
        <f>VLOOKUP(CONCATENATE($C6," - ",$B6),[2]ACHIEV!$B$17:$C$50,2,FALSE)</f>
        <v>Retro1Slow</v>
      </c>
      <c r="B6" s="295" t="str">
        <f>'SC-Retro'!$C$7</f>
        <v>Retro</v>
      </c>
      <c r="C6" s="295" t="str">
        <f>'SC-Retro'!$C$8</f>
        <v>Irrigation Pressure</v>
      </c>
      <c r="D6" s="295" t="s">
        <v>685</v>
      </c>
      <c r="E6" s="295" t="str">
        <f>'SC-Retro'!$A$9</f>
        <v>Irrigation</v>
      </c>
      <c r="F6" s="296">
        <f t="shared" si="1"/>
        <v>7.2489293788052139E-4</v>
      </c>
      <c r="G6" s="297">
        <f>'SC-Retro'!A84</f>
        <v>272.53397519140287</v>
      </c>
      <c r="H6" s="297">
        <f>'SC-Retro'!B84</f>
        <v>77.735863486119598</v>
      </c>
      <c r="I6" s="298" t="str">
        <f>'SC-Retro'!C84</f>
        <v>Convert hand line systems to low pressure systems on alfalfa acreage</v>
      </c>
      <c r="J6" s="298" t="str">
        <f>'SC-Retro'!D84</f>
        <v>Idaho</v>
      </c>
      <c r="K6" s="299">
        <f>'SC-Retro'!E84</f>
        <v>1.3212014562372198E-3</v>
      </c>
      <c r="L6" s="299">
        <f>'SC-Retro'!F84</f>
        <v>2.6413252835805622E-3</v>
      </c>
      <c r="M6" s="299">
        <f>'SC-Retro'!G84</f>
        <v>4.6906075444347961E-3</v>
      </c>
      <c r="N6" s="299">
        <f>'SC-Retro'!H84</f>
        <v>7.6345864136236948E-3</v>
      </c>
      <c r="O6" s="299">
        <f>'SC-Retro'!I84</f>
        <v>1.1598448256876885E-2</v>
      </c>
      <c r="P6" s="299">
        <f>'SC-Retro'!J84</f>
        <v>1.663006434022837E-2</v>
      </c>
      <c r="Q6" s="299">
        <f>'SC-Retro'!K84</f>
        <v>2.2650224145769532E-2</v>
      </c>
      <c r="R6" s="299">
        <f>'SC-Retro'!L84</f>
        <v>2.9405167342750928E-2</v>
      </c>
      <c r="S6" s="299">
        <f>'SC-Retro'!M84</f>
        <v>3.6426857869566932E-2</v>
      </c>
      <c r="T6" s="299">
        <f>'SC-Retro'!N84</f>
        <v>4.3029822777554787E-2</v>
      </c>
      <c r="U6" s="299">
        <f>'SC-Retro'!O84</f>
        <v>4.8364958179786165E-2</v>
      </c>
      <c r="V6" s="299">
        <f>'SC-Retro'!P84</f>
        <v>5.1550909225889327E-2</v>
      </c>
      <c r="W6" s="299">
        <f>'SC-Retro'!Q84</f>
        <v>5.1871296141232238E-2</v>
      </c>
      <c r="X6" s="299">
        <f>'SC-Retro'!R84</f>
        <v>4.9001502178469131E-2</v>
      </c>
      <c r="Y6" s="299">
        <f>'SC-Retro'!S84</f>
        <v>4.3178608451720599E-2</v>
      </c>
      <c r="Z6" s="299">
        <f>'SC-Retro'!T84</f>
        <v>3.5227583617577843E-2</v>
      </c>
      <c r="AA6" s="299">
        <f>'SC-Retro'!U84</f>
        <v>2.6392679090595554E-2</v>
      </c>
      <c r="AB6" s="299">
        <f>'SC-Retro'!V84</f>
        <v>1.7992871922044407E-2</v>
      </c>
      <c r="AC6" s="299">
        <f>'SC-Retro'!W84</f>
        <v>1.1051108802897953E-2</v>
      </c>
      <c r="AD6" s="299">
        <f>'SC-Retro'!X84</f>
        <v>5.3147295995510614E-3</v>
      </c>
      <c r="AE6" s="299">
        <f>'SC-Retro'!Y84</f>
        <v>0.53147295995510602</v>
      </c>
      <c r="AF6" s="300">
        <f t="shared" si="2"/>
        <v>0</v>
      </c>
      <c r="AG6" s="300">
        <f t="shared" si="3"/>
        <v>9.5473640157808844E-3</v>
      </c>
      <c r="AH6" s="300">
        <f t="shared" si="4"/>
        <v>0.52566970393840817</v>
      </c>
      <c r="AI6" s="300">
        <f t="shared" si="5"/>
        <v>6.3319745077984253</v>
      </c>
      <c r="AJ6" s="300">
        <f t="shared" si="6"/>
        <v>25.080647311966064</v>
      </c>
      <c r="AK6" s="300">
        <f t="shared" si="7"/>
        <v>33.240134568060625</v>
      </c>
      <c r="AL6" s="300">
        <f t="shared" si="8"/>
        <v>32.180557879846624</v>
      </c>
      <c r="AM6" s="300">
        <f t="shared" si="9"/>
        <v>32.641058576405996</v>
      </c>
      <c r="AN6" s="300">
        <f t="shared" si="10"/>
        <v>15.344943555925228</v>
      </c>
      <c r="AO6" s="300">
        <f t="shared" si="11"/>
        <v>8.8237671189657068</v>
      </c>
      <c r="AP6" s="300">
        <f t="shared" si="12"/>
        <v>2.4938950473880572</v>
      </c>
      <c r="AQ6" s="300">
        <f t="shared" si="13"/>
        <v>1.7089254361759731E-2</v>
      </c>
      <c r="AR6" s="300"/>
      <c r="AS6" s="300">
        <f t="shared" si="14"/>
        <v>0</v>
      </c>
      <c r="AT6" s="300">
        <f t="shared" si="15"/>
        <v>6.5292344050772626E-3</v>
      </c>
      <c r="AU6" s="300">
        <f t="shared" si="16"/>
        <v>0.19382978106489085</v>
      </c>
      <c r="AV6" s="300">
        <f t="shared" si="17"/>
        <v>4.1730551167390608</v>
      </c>
      <c r="AW6" s="300">
        <f t="shared" si="18"/>
        <v>16.262941488261063</v>
      </c>
      <c r="AX6" s="300">
        <f t="shared" si="19"/>
        <v>24.434001555514865</v>
      </c>
      <c r="AY6" s="300">
        <f t="shared" si="20"/>
        <v>27.715310158371071</v>
      </c>
      <c r="AZ6" s="300">
        <f t="shared" si="21"/>
        <v>23.737302293003221</v>
      </c>
      <c r="BA6" s="300">
        <f t="shared" si="22"/>
        <v>12.282123745857339</v>
      </c>
      <c r="BB6" s="300">
        <f t="shared" si="23"/>
        <v>5.7964431181881428</v>
      </c>
      <c r="BC6" s="300">
        <f t="shared" si="24"/>
        <v>1.2305249109451815</v>
      </c>
      <c r="BD6" s="300">
        <f t="shared" si="25"/>
        <v>1.2628900380255732E-2</v>
      </c>
    </row>
    <row r="7" spans="1:56" ht="15">
      <c r="A7" s="295" t="str">
        <f>VLOOKUP(CONCATENATE($C7," - ",$B7),[2]ACHIEV!$B$17:$C$50,2,FALSE)</f>
        <v>Retro1Slow</v>
      </c>
      <c r="B7" s="295" t="str">
        <f>'SC-Retro'!$C$7</f>
        <v>Retro</v>
      </c>
      <c r="C7" s="295" t="str">
        <f>'SC-Retro'!$C$8</f>
        <v>Irrigation Pressure</v>
      </c>
      <c r="D7" s="295" t="s">
        <v>685</v>
      </c>
      <c r="E7" s="295" t="str">
        <f>'SC-Retro'!$A$9</f>
        <v>Irrigation</v>
      </c>
      <c r="F7" s="296">
        <f t="shared" si="1"/>
        <v>4.4312873637957688E-4</v>
      </c>
      <c r="G7" s="297">
        <f>'SC-Retro'!A85</f>
        <v>166.60065195306746</v>
      </c>
      <c r="H7" s="297">
        <f>'SC-Retro'!B85</f>
        <v>24.318433949444213</v>
      </c>
      <c r="I7" s="290" t="str">
        <f>'SC-Retro'!C85</f>
        <v>Convert Medium Pressure Center Pivot to Low pressure system</v>
      </c>
      <c r="J7" s="290" t="str">
        <f>'SC-Retro'!D85</f>
        <v>Montana</v>
      </c>
      <c r="K7" s="299">
        <f>'SC-Retro'!E85</f>
        <v>4.526672878504643E-4</v>
      </c>
      <c r="L7" s="299">
        <f>'SC-Retro'!F85</f>
        <v>9.1466827320522287E-4</v>
      </c>
      <c r="M7" s="299">
        <f>'SC-Retro'!G85</f>
        <v>1.6412378160617824E-3</v>
      </c>
      <c r="N7" s="299">
        <f>'SC-Retro'!H85</f>
        <v>2.6984036866609844E-3</v>
      </c>
      <c r="O7" s="299">
        <f>'SC-Retro'!I85</f>
        <v>4.1398645605422134E-3</v>
      </c>
      <c r="P7" s="299">
        <f>'SC-Retro'!J85</f>
        <v>5.9745687630160284E-3</v>
      </c>
      <c r="Q7" s="299">
        <f>'SC-Retro'!K85</f>
        <v>8.189252291742697E-3</v>
      </c>
      <c r="R7" s="299">
        <f>'SC-Retro'!L85</f>
        <v>1.0700347129300042E-2</v>
      </c>
      <c r="S7" s="299">
        <f>'SC-Retro'!M85</f>
        <v>1.3342292079591722E-2</v>
      </c>
      <c r="T7" s="299">
        <f>'SC-Retro'!N85</f>
        <v>1.5864814037659387E-2</v>
      </c>
      <c r="U7" s="299">
        <f>'SC-Retro'!O85</f>
        <v>1.7950074500862896E-2</v>
      </c>
      <c r="V7" s="299">
        <f>'SC-Retro'!P85</f>
        <v>1.9259604219490342E-2</v>
      </c>
      <c r="W7" s="299">
        <f>'SC-Retro'!Q85</f>
        <v>1.9508009521137949E-2</v>
      </c>
      <c r="X7" s="299">
        <f>'SC-Retro'!R85</f>
        <v>1.8550830320584612E-2</v>
      </c>
      <c r="Y7" s="299">
        <f>'SC-Retro'!S85</f>
        <v>1.6454303184853133E-2</v>
      </c>
      <c r="Z7" s="299">
        <f>'SC-Retro'!T85</f>
        <v>1.3512466613356902E-2</v>
      </c>
      <c r="AA7" s="299">
        <f>'SC-Retro'!U85</f>
        <v>1.0189606872304215E-2</v>
      </c>
      <c r="AB7" s="299">
        <f>'SC-Retro'!V85</f>
        <v>6.9915639544769108E-3</v>
      </c>
      <c r="AC7" s="299">
        <f>'SC-Retro'!W85</f>
        <v>4.3217050761205945E-3</v>
      </c>
      <c r="AD7" s="299">
        <f>'SC-Retro'!X85</f>
        <v>2.0916062712909907E-3</v>
      </c>
      <c r="AE7" s="299">
        <f>'SC-Retro'!Y85</f>
        <v>0.20916062712909905</v>
      </c>
      <c r="AF7" s="300">
        <f t="shared" si="2"/>
        <v>0</v>
      </c>
      <c r="AG7" s="300">
        <f t="shared" si="3"/>
        <v>5.8363257951426504E-3</v>
      </c>
      <c r="AH7" s="300">
        <f t="shared" si="4"/>
        <v>0.32134311080520794</v>
      </c>
      <c r="AI7" s="300">
        <f t="shared" si="5"/>
        <v>3.8707507216615777</v>
      </c>
      <c r="AJ7" s="300">
        <f t="shared" si="6"/>
        <v>15.331857947780396</v>
      </c>
      <c r="AK7" s="300">
        <f t="shared" si="7"/>
        <v>20.31977145659484</v>
      </c>
      <c r="AL7" s="300">
        <f t="shared" si="8"/>
        <v>19.672049766384479</v>
      </c>
      <c r="AM7" s="300">
        <f t="shared" si="9"/>
        <v>19.953554911633809</v>
      </c>
      <c r="AN7" s="300">
        <f t="shared" si="10"/>
        <v>9.3803996320265348</v>
      </c>
      <c r="AO7" s="300">
        <f t="shared" si="11"/>
        <v>5.3939893316761758</v>
      </c>
      <c r="AP7" s="300">
        <f t="shared" si="12"/>
        <v>1.5245238341589453</v>
      </c>
      <c r="AQ7" s="300">
        <f t="shared" si="13"/>
        <v>1.0446700878528795E-2</v>
      </c>
      <c r="AR7" s="300"/>
      <c r="AS7" s="300">
        <f t="shared" si="14"/>
        <v>0</v>
      </c>
      <c r="AT7" s="300">
        <f t="shared" si="15"/>
        <v>3.9913361549741358E-3</v>
      </c>
      <c r="AU7" s="300">
        <f t="shared" si="16"/>
        <v>0.11848859530505175</v>
      </c>
      <c r="AV7" s="300">
        <f t="shared" si="17"/>
        <v>2.5509982841461993</v>
      </c>
      <c r="AW7" s="300">
        <f t="shared" si="18"/>
        <v>9.9415738999735233</v>
      </c>
      <c r="AX7" s="300">
        <f t="shared" si="19"/>
        <v>14.936561895125701</v>
      </c>
      <c r="AY7" s="300">
        <f t="shared" si="20"/>
        <v>16.942433464390131</v>
      </c>
      <c r="AZ7" s="300">
        <f t="shared" si="21"/>
        <v>14.510668017974627</v>
      </c>
      <c r="BA7" s="300">
        <f t="shared" si="22"/>
        <v>7.5080907692004768</v>
      </c>
      <c r="BB7" s="300">
        <f t="shared" si="23"/>
        <v>3.5433791395028931</v>
      </c>
      <c r="BC7" s="300">
        <f t="shared" si="24"/>
        <v>0.75222273576709087</v>
      </c>
      <c r="BD7" s="300">
        <f t="shared" si="25"/>
        <v>7.7200761311440229E-3</v>
      </c>
    </row>
    <row r="8" spans="1:56" ht="15">
      <c r="A8" s="295" t="str">
        <f>VLOOKUP(CONCATENATE($C8," - ",$B8),[2]ACHIEV!$B$17:$C$50,2,FALSE)</f>
        <v>Retro1Slow</v>
      </c>
      <c r="B8" s="295" t="str">
        <f>'SC-Retro'!$C$7</f>
        <v>Retro</v>
      </c>
      <c r="C8" s="295" t="str">
        <f>'SC-Retro'!$C$8</f>
        <v>Irrigation Pressure</v>
      </c>
      <c r="D8" s="295" t="s">
        <v>685</v>
      </c>
      <c r="E8" s="295" t="str">
        <f>'SC-Retro'!$A$9</f>
        <v>Irrigation</v>
      </c>
      <c r="F8" s="296">
        <f t="shared" si="1"/>
        <v>7.6289117081932648E-4</v>
      </c>
      <c r="G8" s="297">
        <f>'SC-Retro'!A86</f>
        <v>286.81995996501684</v>
      </c>
      <c r="H8" s="297">
        <f>'SC-Retro'!B86</f>
        <v>33.730986596697171</v>
      </c>
      <c r="I8" s="290" t="str">
        <f>'SC-Retro'!C86</f>
        <v>Convert High Pressure Center Pivot to Low pressure system</v>
      </c>
      <c r="J8" s="290" t="str">
        <f>'SC-Retro'!D86</f>
        <v>Montana</v>
      </c>
      <c r="K8" s="299">
        <f>'SC-Retro'!E86</f>
        <v>1.9148734354105853E-4</v>
      </c>
      <c r="L8" s="299">
        <f>'SC-Retro'!F86</f>
        <v>3.8692302836606602E-4</v>
      </c>
      <c r="M8" s="299">
        <f>'SC-Retro'!G86</f>
        <v>6.9427652042004513E-4</v>
      </c>
      <c r="N8" s="299">
        <f>'SC-Retro'!H86</f>
        <v>1.1414788910719851E-3</v>
      </c>
      <c r="O8" s="299">
        <f>'SC-Retro'!I86</f>
        <v>1.7512457573030421E-3</v>
      </c>
      <c r="P8" s="299">
        <f>'SC-Retro'!J86</f>
        <v>2.5273624402284154E-3</v>
      </c>
      <c r="Q8" s="299">
        <f>'SC-Retro'!K86</f>
        <v>3.4642180007744675E-3</v>
      </c>
      <c r="R8" s="299">
        <f>'SC-Retro'!L86</f>
        <v>4.5264614911465061E-3</v>
      </c>
      <c r="S8" s="299">
        <f>'SC-Retro'!M86</f>
        <v>5.6440572041377849E-3</v>
      </c>
      <c r="T8" s="299">
        <f>'SC-Retro'!N86</f>
        <v>6.7111345957206574E-3</v>
      </c>
      <c r="U8" s="299">
        <f>'SC-Retro'!O86</f>
        <v>7.5932416032452295E-3</v>
      </c>
      <c r="V8" s="299">
        <f>'SC-Retro'!P86</f>
        <v>8.1471989441849538E-3</v>
      </c>
      <c r="W8" s="299">
        <f>'SC-Retro'!Q86</f>
        <v>8.2522793699428866E-3</v>
      </c>
      <c r="X8" s="299">
        <f>'SC-Retro'!R86</f>
        <v>7.8473733665135846E-3</v>
      </c>
      <c r="Y8" s="299">
        <f>'SC-Retro'!S86</f>
        <v>6.9605003304933945E-3</v>
      </c>
      <c r="Z8" s="299">
        <f>'SC-Retro'!T86</f>
        <v>5.7160444457248043E-3</v>
      </c>
      <c r="AA8" s="299">
        <f>'SC-Retro'!U86</f>
        <v>4.3104081166779797E-3</v>
      </c>
      <c r="AB8" s="299">
        <f>'SC-Retro'!V86</f>
        <v>2.957571807756661E-3</v>
      </c>
      <c r="AC8" s="299">
        <f>'SC-Retro'!W86</f>
        <v>1.828167943223716E-3</v>
      </c>
      <c r="AD8" s="299">
        <f>'SC-Retro'!X86</f>
        <v>8.8479141164633584E-4</v>
      </c>
      <c r="AE8" s="299">
        <f>'SC-Retro'!Y86</f>
        <v>8.8479141164633554E-2</v>
      </c>
      <c r="AF8" s="300">
        <f t="shared" si="2"/>
        <v>0</v>
      </c>
      <c r="AG8" s="300">
        <f t="shared" si="3"/>
        <v>1.0047828212444092E-2</v>
      </c>
      <c r="AH8" s="300">
        <f t="shared" si="4"/>
        <v>0.55322483493130603</v>
      </c>
      <c r="AI8" s="300">
        <f t="shared" si="5"/>
        <v>6.6638908912210448</v>
      </c>
      <c r="AJ8" s="300">
        <f t="shared" si="6"/>
        <v>26.395352186319769</v>
      </c>
      <c r="AK8" s="300">
        <f t="shared" si="7"/>
        <v>34.98255239313616</v>
      </c>
      <c r="AL8" s="300">
        <f t="shared" si="8"/>
        <v>33.867433652142608</v>
      </c>
      <c r="AM8" s="300">
        <f t="shared" si="9"/>
        <v>34.35207337920145</v>
      </c>
      <c r="AN8" s="300">
        <f t="shared" si="10"/>
        <v>16.149311634576542</v>
      </c>
      <c r="AO8" s="300">
        <f t="shared" si="11"/>
        <v>9.2863010199919156</v>
      </c>
      <c r="AP8" s="300">
        <f t="shared" si="12"/>
        <v>2.6246227727990097</v>
      </c>
      <c r="AQ8" s="300">
        <f t="shared" si="13"/>
        <v>1.7985057637050661E-2</v>
      </c>
      <c r="AR8" s="300"/>
      <c r="AS8" s="300">
        <f t="shared" si="14"/>
        <v>0</v>
      </c>
      <c r="AT8" s="300">
        <f t="shared" si="15"/>
        <v>6.8714909741115692E-3</v>
      </c>
      <c r="AU8" s="300">
        <f t="shared" si="16"/>
        <v>0.20399016308339418</v>
      </c>
      <c r="AV8" s="300">
        <f t="shared" si="17"/>
        <v>4.3918028960400353</v>
      </c>
      <c r="AW8" s="300">
        <f t="shared" si="18"/>
        <v>17.115430189210379</v>
      </c>
      <c r="AX8" s="300">
        <f t="shared" si="19"/>
        <v>25.714809843492155</v>
      </c>
      <c r="AY8" s="300">
        <f t="shared" si="20"/>
        <v>29.168121678991227</v>
      </c>
      <c r="AZ8" s="300">
        <f t="shared" si="21"/>
        <v>24.981590235034506</v>
      </c>
      <c r="BA8" s="300">
        <f t="shared" si="22"/>
        <v>12.925941577001995</v>
      </c>
      <c r="BB8" s="300">
        <f t="shared" si="23"/>
        <v>6.1002874299639451</v>
      </c>
      <c r="BC8" s="300">
        <f t="shared" si="24"/>
        <v>1.295027915126475</v>
      </c>
      <c r="BD8" s="300">
        <f t="shared" si="25"/>
        <v>1.3290895929299162E-2</v>
      </c>
    </row>
    <row r="9" spans="1:56" ht="15">
      <c r="A9" s="295" t="str">
        <f>VLOOKUP(CONCATENATE($C9," - ",$B9),[2]ACHIEV!$B$17:$C$50,2,FALSE)</f>
        <v>Retro1Slow</v>
      </c>
      <c r="B9" s="295" t="str">
        <f>'SC-Retro'!$C$7</f>
        <v>Retro</v>
      </c>
      <c r="C9" s="295" t="str">
        <f>'SC-Retro'!$C$8</f>
        <v>Irrigation Pressure</v>
      </c>
      <c r="D9" s="295" t="s">
        <v>685</v>
      </c>
      <c r="E9" s="295" t="str">
        <f>'SC-Retro'!$A$9</f>
        <v>Irrigation</v>
      </c>
      <c r="F9" s="296">
        <f t="shared" si="1"/>
        <v>5.3950401222654422E-4</v>
      </c>
      <c r="G9" s="297">
        <f>'SC-Retro'!A87</f>
        <v>202.83432959591843</v>
      </c>
      <c r="H9" s="297">
        <f>'SC-Retro'!B87</f>
        <v>148.13817906920514</v>
      </c>
      <c r="I9" s="290" t="str">
        <f>'SC-Retro'!C87</f>
        <v>Convert wheel line systems to low pressure systems on alfalfa acreage</v>
      </c>
      <c r="J9" s="290" t="str">
        <f>'SC-Retro'!D87</f>
        <v>Montana</v>
      </c>
      <c r="K9" s="299">
        <f>'SC-Retro'!E87</f>
        <v>2.5894805156207173E-4</v>
      </c>
      <c r="L9" s="299">
        <f>'SC-Retro'!F87</f>
        <v>5.23235439204919E-4</v>
      </c>
      <c r="M9" s="299">
        <f>'SC-Retro'!G87</f>
        <v>9.3886911209626234E-4</v>
      </c>
      <c r="N9" s="299">
        <f>'SC-Retro'!H87</f>
        <v>1.5436202167531034E-3</v>
      </c>
      <c r="O9" s="299">
        <f>'SC-Retro'!I87</f>
        <v>2.3682070484346784E-3</v>
      </c>
      <c r="P9" s="299">
        <f>'SC-Retro'!J87</f>
        <v>3.4177484912885818E-3</v>
      </c>
      <c r="Q9" s="299">
        <f>'SC-Retro'!K87</f>
        <v>4.6846568807011445E-3</v>
      </c>
      <c r="R9" s="299">
        <f>'SC-Retro'!L87</f>
        <v>6.1211271822349594E-3</v>
      </c>
      <c r="S9" s="299">
        <f>'SC-Retro'!M87</f>
        <v>7.6324502125801139E-3</v>
      </c>
      <c r="T9" s="299">
        <f>'SC-Retro'!N87</f>
        <v>9.0754573915745578E-3</v>
      </c>
      <c r="U9" s="299">
        <f>'SC-Retro'!O87</f>
        <v>1.0268329393680329E-2</v>
      </c>
      <c r="V9" s="299">
        <f>'SC-Retro'!P87</f>
        <v>1.1017445086823206E-2</v>
      </c>
      <c r="W9" s="299">
        <f>'SC-Retro'!Q87</f>
        <v>1.1159545191217281E-2</v>
      </c>
      <c r="X9" s="299">
        <f>'SC-Retro'!R87</f>
        <v>1.0611991401421658E-2</v>
      </c>
      <c r="Y9" s="299">
        <f>'SC-Retro'!S87</f>
        <v>9.4126743060277025E-3</v>
      </c>
      <c r="Z9" s="299">
        <f>'SC-Retro'!T87</f>
        <v>7.7297984529471862E-3</v>
      </c>
      <c r="AA9" s="299">
        <f>'SC-Retro'!U87</f>
        <v>5.8289585233698418E-3</v>
      </c>
      <c r="AB9" s="299">
        <f>'SC-Retro'!V87</f>
        <v>3.9995199829449164E-3</v>
      </c>
      <c r="AC9" s="299">
        <f>'SC-Retro'!W87</f>
        <v>2.4722288067279782E-3</v>
      </c>
      <c r="AD9" s="299">
        <f>'SC-Retro'!X87</f>
        <v>1.1965021178308162E-3</v>
      </c>
      <c r="AE9" s="299">
        <f>'SC-Retro'!Y87</f>
        <v>0.11965021178308162</v>
      </c>
      <c r="AF9" s="300">
        <f t="shared" si="2"/>
        <v>0</v>
      </c>
      <c r="AG9" s="300">
        <f t="shared" si="3"/>
        <v>7.1056578475731987E-3</v>
      </c>
      <c r="AH9" s="300">
        <f t="shared" si="4"/>
        <v>0.39123144889494649</v>
      </c>
      <c r="AI9" s="300">
        <f t="shared" si="5"/>
        <v>4.7125933689762363</v>
      </c>
      <c r="AJ9" s="300">
        <f t="shared" si="6"/>
        <v>18.666356294775785</v>
      </c>
      <c r="AK9" s="300">
        <f t="shared" si="7"/>
        <v>24.739082186195535</v>
      </c>
      <c r="AL9" s="300">
        <f t="shared" si="8"/>
        <v>23.950488664751425</v>
      </c>
      <c r="AM9" s="300">
        <f t="shared" si="9"/>
        <v>24.29321786025622</v>
      </c>
      <c r="AN9" s="300">
        <f t="shared" si="10"/>
        <v>11.42052596072611</v>
      </c>
      <c r="AO9" s="300">
        <f t="shared" si="11"/>
        <v>6.5671184182777669</v>
      </c>
      <c r="AP9" s="300">
        <f t="shared" si="12"/>
        <v>1.8560897945449806</v>
      </c>
      <c r="AQ9" s="300">
        <f t="shared" si="13"/>
        <v>1.2718735157065307E-2</v>
      </c>
      <c r="AR9" s="300"/>
      <c r="AS9" s="300">
        <f t="shared" si="14"/>
        <v>0</v>
      </c>
      <c r="AT9" s="300">
        <f t="shared" si="15"/>
        <v>4.8594047123788802E-3</v>
      </c>
      <c r="AU9" s="300">
        <f t="shared" si="16"/>
        <v>0.1442584678494096</v>
      </c>
      <c r="AV9" s="300">
        <f t="shared" si="17"/>
        <v>3.1058103356696116</v>
      </c>
      <c r="AW9" s="300">
        <f t="shared" si="18"/>
        <v>12.103749015925036</v>
      </c>
      <c r="AX9" s="300">
        <f t="shared" si="19"/>
        <v>18.18508801105553</v>
      </c>
      <c r="AY9" s="300">
        <f t="shared" si="20"/>
        <v>20.627212998188707</v>
      </c>
      <c r="AZ9" s="300">
        <f t="shared" si="21"/>
        <v>17.666567236747397</v>
      </c>
      <c r="BA9" s="300">
        <f t="shared" si="22"/>
        <v>9.1410119940292507</v>
      </c>
      <c r="BB9" s="300">
        <f t="shared" si="23"/>
        <v>4.3140223272817666</v>
      </c>
      <c r="BC9" s="300">
        <f t="shared" si="24"/>
        <v>0.91582231238271161</v>
      </c>
      <c r="BD9" s="300">
        <f t="shared" si="25"/>
        <v>9.3991016729704831E-3</v>
      </c>
    </row>
    <row r="10" spans="1:56" ht="15">
      <c r="A10" s="295" t="str">
        <f>VLOOKUP(CONCATENATE($C10," - ",$B10),[2]ACHIEV!$B$17:$C$50,2,FALSE)</f>
        <v>Retro1Slow</v>
      </c>
      <c r="B10" s="295" t="str">
        <f>'SC-Retro'!$C$7</f>
        <v>Retro</v>
      </c>
      <c r="C10" s="295" t="str">
        <f>'SC-Retro'!$C$8</f>
        <v>Irrigation Pressure</v>
      </c>
      <c r="D10" s="295" t="s">
        <v>685</v>
      </c>
      <c r="E10" s="295" t="str">
        <f>'SC-Retro'!$A$9</f>
        <v>Irrigation</v>
      </c>
      <c r="F10" s="296">
        <f t="shared" si="1"/>
        <v>5.3950401222654422E-4</v>
      </c>
      <c r="G10" s="297">
        <f>'SC-Retro'!A88</f>
        <v>202.83432959591843</v>
      </c>
      <c r="H10" s="297">
        <f>'SC-Retro'!B88</f>
        <v>123.66448698155362</v>
      </c>
      <c r="I10" s="290" t="str">
        <f>'SC-Retro'!C88</f>
        <v>Convert hand line systems to low pressure systems on alfalfa acreage</v>
      </c>
      <c r="J10" s="301" t="str">
        <f>'SC-Retro'!D88</f>
        <v>Montana</v>
      </c>
      <c r="K10" s="299">
        <f>'SC-Retro'!E88</f>
        <v>6.2031799544223637E-5</v>
      </c>
      <c r="L10" s="299">
        <f>'SC-Retro'!F88</f>
        <v>1.2534265341406948E-4</v>
      </c>
      <c r="M10" s="299">
        <f>'SC-Retro'!G88</f>
        <v>2.2490897385979392E-4</v>
      </c>
      <c r="N10" s="299">
        <f>'SC-Retro'!H88</f>
        <v>3.6977895481513871E-4</v>
      </c>
      <c r="O10" s="299">
        <f>'SC-Retro'!I88</f>
        <v>5.6731125807487866E-4</v>
      </c>
      <c r="P10" s="299">
        <f>'SC-Retro'!J88</f>
        <v>8.187321280282581E-4</v>
      </c>
      <c r="Q10" s="299">
        <f>'SC-Retro'!K88</f>
        <v>1.122223916357459E-3</v>
      </c>
      <c r="R10" s="299">
        <f>'SC-Retro'!L88</f>
        <v>1.4663347805190165E-3</v>
      </c>
      <c r="S10" s="299">
        <f>'SC-Retro'!M88</f>
        <v>1.8283768453246935E-3</v>
      </c>
      <c r="T10" s="299">
        <f>'SC-Retro'!N88</f>
        <v>2.174053638520421E-3</v>
      </c>
      <c r="U10" s="299">
        <f>'SC-Retro'!O88</f>
        <v>2.4598097833153725E-3</v>
      </c>
      <c r="V10" s="299">
        <f>'SC-Retro'!P88</f>
        <v>2.6392627439850995E-3</v>
      </c>
      <c r="W10" s="299">
        <f>'SC-Retro'!Q88</f>
        <v>2.6733032595935898E-3</v>
      </c>
      <c r="X10" s="299">
        <f>'SC-Retro'!R88</f>
        <v>2.5421350707488075E-3</v>
      </c>
      <c r="Y10" s="299">
        <f>'SC-Retro'!S88</f>
        <v>2.2548349840995551E-3</v>
      </c>
      <c r="Z10" s="299">
        <f>'SC-Retro'!T88</f>
        <v>1.8516969147208727E-3</v>
      </c>
      <c r="AA10" s="299">
        <f>'SC-Retro'!U88</f>
        <v>1.3963448826592088E-3</v>
      </c>
      <c r="AB10" s="299">
        <f>'SC-Retro'!V88</f>
        <v>9.580972722464567E-4</v>
      </c>
      <c r="AC10" s="299">
        <f>'SC-Retro'!W88</f>
        <v>5.9222998914762774E-4</v>
      </c>
      <c r="AD10" s="299">
        <f>'SC-Retro'!X88</f>
        <v>2.8662575014482732E-4</v>
      </c>
      <c r="AE10" s="299">
        <f>'SC-Retro'!Y88</f>
        <v>2.8662575014482727E-2</v>
      </c>
      <c r="AF10" s="300">
        <f t="shared" si="2"/>
        <v>0</v>
      </c>
      <c r="AG10" s="300">
        <f t="shared" si="3"/>
        <v>7.1056578475731987E-3</v>
      </c>
      <c r="AH10" s="300">
        <f t="shared" si="4"/>
        <v>0.39123144889494649</v>
      </c>
      <c r="AI10" s="300">
        <f t="shared" si="5"/>
        <v>4.7125933689762363</v>
      </c>
      <c r="AJ10" s="300">
        <f t="shared" si="6"/>
        <v>18.666356294775785</v>
      </c>
      <c r="AK10" s="300">
        <f t="shared" si="7"/>
        <v>24.739082186195535</v>
      </c>
      <c r="AL10" s="300">
        <f t="shared" si="8"/>
        <v>23.950488664751425</v>
      </c>
      <c r="AM10" s="300">
        <f t="shared" si="9"/>
        <v>24.29321786025622</v>
      </c>
      <c r="AN10" s="300">
        <f t="shared" si="10"/>
        <v>11.42052596072611</v>
      </c>
      <c r="AO10" s="300">
        <f t="shared" si="11"/>
        <v>6.5671184182777669</v>
      </c>
      <c r="AP10" s="300">
        <f t="shared" si="12"/>
        <v>1.8560897945449806</v>
      </c>
      <c r="AQ10" s="300">
        <f t="shared" si="13"/>
        <v>1.2718735157065307E-2</v>
      </c>
      <c r="AR10" s="300"/>
      <c r="AS10" s="300">
        <f t="shared" si="14"/>
        <v>0</v>
      </c>
      <c r="AT10" s="300">
        <f t="shared" si="15"/>
        <v>4.8594047123788802E-3</v>
      </c>
      <c r="AU10" s="300">
        <f t="shared" si="16"/>
        <v>0.1442584678494096</v>
      </c>
      <c r="AV10" s="300">
        <f t="shared" si="17"/>
        <v>3.1058103356696116</v>
      </c>
      <c r="AW10" s="300">
        <f t="shared" si="18"/>
        <v>12.103749015925036</v>
      </c>
      <c r="AX10" s="300">
        <f t="shared" si="19"/>
        <v>18.18508801105553</v>
      </c>
      <c r="AY10" s="300">
        <f t="shared" si="20"/>
        <v>20.627212998188707</v>
      </c>
      <c r="AZ10" s="300">
        <f t="shared" si="21"/>
        <v>17.666567236747397</v>
      </c>
      <c r="BA10" s="300">
        <f t="shared" si="22"/>
        <v>9.1410119940292507</v>
      </c>
      <c r="BB10" s="300">
        <f t="shared" si="23"/>
        <v>4.3140223272817666</v>
      </c>
      <c r="BC10" s="300">
        <f t="shared" si="24"/>
        <v>0.91582231238271161</v>
      </c>
      <c r="BD10" s="300">
        <f t="shared" si="25"/>
        <v>9.3991016729704831E-3</v>
      </c>
    </row>
    <row r="11" spans="1:56" ht="15">
      <c r="A11" s="295" t="str">
        <f>VLOOKUP(CONCATENATE($C11," - ",$B11),[2]ACHIEV!$B$17:$C$50,2,FALSE)</f>
        <v>Retro1Slow</v>
      </c>
      <c r="B11" s="295" t="str">
        <f>'SC-Retro'!$C$7</f>
        <v>Retro</v>
      </c>
      <c r="C11" s="295" t="str">
        <f>'SC-Retro'!$C$8</f>
        <v>Irrigation Pressure</v>
      </c>
      <c r="D11" s="295" t="s">
        <v>685</v>
      </c>
      <c r="E11" s="295" t="str">
        <f>'SC-Retro'!$A$9</f>
        <v>Irrigation</v>
      </c>
      <c r="F11" s="296">
        <f t="shared" si="1"/>
        <v>1.2656936613806523E-3</v>
      </c>
      <c r="G11" s="297">
        <f>'SC-Retro'!A89</f>
        <v>475.8558221289847</v>
      </c>
      <c r="H11" s="297">
        <f>'SC-Retro'!B89</f>
        <v>8.927621509866329</v>
      </c>
      <c r="I11" s="290" t="str">
        <f>'SC-Retro'!C89</f>
        <v>Convert Medium Pressure Center Pivot to Low pressure system</v>
      </c>
      <c r="J11" s="301" t="str">
        <f>'SC-Retro'!D89</f>
        <v>Washington</v>
      </c>
      <c r="K11" s="299">
        <f>'SC-Retro'!E89</f>
        <v>9.8503187621484783E-3</v>
      </c>
      <c r="L11" s="299">
        <f>'SC-Retro'!F89</f>
        <v>1.9900079795187941E-2</v>
      </c>
      <c r="M11" s="299">
        <f>'SC-Retro'!G89</f>
        <v>3.5719732396831204E-2</v>
      </c>
      <c r="N11" s="299">
        <f>'SC-Retro'!H89</f>
        <v>5.8752270050173236E-2</v>
      </c>
      <c r="O11" s="299">
        <f>'SC-Retro'!I89</f>
        <v>9.0793141040707293E-2</v>
      </c>
      <c r="P11" s="299">
        <f>'SC-Retro'!J89</f>
        <v>0.13164761324638391</v>
      </c>
      <c r="Q11" s="299">
        <f>'SC-Retro'!K89</f>
        <v>0.18121506104415827</v>
      </c>
      <c r="R11" s="299">
        <f>'SC-Retro'!L89</f>
        <v>0.23780693533465866</v>
      </c>
      <c r="S11" s="299">
        <f>'SC-Retro'!M89</f>
        <v>0.29760930238260397</v>
      </c>
      <c r="T11" s="299">
        <f>'SC-Retro'!N89</f>
        <v>0.35785955896610128</v>
      </c>
      <c r="U11" s="299">
        <f>'SC-Retro'!O89</f>
        <v>0.40614939502242869</v>
      </c>
      <c r="V11" s="299">
        <f>'SC-Retro'!P89</f>
        <v>0.43688309707073308</v>
      </c>
      <c r="W11" s="299">
        <f>'SC-Retro'!Q89</f>
        <v>0.44371968618489782</v>
      </c>
      <c r="X11" s="299">
        <f>'SC-Retro'!R89</f>
        <v>0.42287578763774814</v>
      </c>
      <c r="Y11" s="299">
        <f>'SC-Retro'!S89</f>
        <v>0.37846889812822304</v>
      </c>
      <c r="Z11" s="299">
        <f>'SC-Retro'!T89</f>
        <v>0.31169677571850463</v>
      </c>
      <c r="AA11" s="299">
        <f>'SC-Retro'!U89</f>
        <v>0.23576965235607525</v>
      </c>
      <c r="AB11" s="299">
        <f>'SC-Retro'!V89</f>
        <v>0.16224792190819654</v>
      </c>
      <c r="AC11" s="299">
        <f>'SC-Retro'!W89</f>
        <v>0.10053965529908977</v>
      </c>
      <c r="AD11" s="299">
        <f>'SC-Retro'!X89</f>
        <v>4.9138129900219187E-2</v>
      </c>
      <c r="AE11" s="299">
        <f>'SC-Retro'!Y89</f>
        <v>4.913812990021917</v>
      </c>
      <c r="AF11" s="300">
        <f t="shared" si="2"/>
        <v>0</v>
      </c>
      <c r="AG11" s="300">
        <f t="shared" si="3"/>
        <v>1.6670100488217633E-2</v>
      </c>
      <c r="AH11" s="300">
        <f t="shared" si="4"/>
        <v>0.91784148732367676</v>
      </c>
      <c r="AI11" s="300">
        <f t="shared" si="5"/>
        <v>11.055894711813686</v>
      </c>
      <c r="AJ11" s="300">
        <f t="shared" si="6"/>
        <v>43.791868657039302</v>
      </c>
      <c r="AK11" s="300">
        <f t="shared" si="7"/>
        <v>58.038677751842876</v>
      </c>
      <c r="AL11" s="300">
        <f t="shared" si="8"/>
        <v>56.188612138098122</v>
      </c>
      <c r="AM11" s="300">
        <f t="shared" si="9"/>
        <v>56.992665788283695</v>
      </c>
      <c r="AN11" s="300">
        <f t="shared" si="10"/>
        <v>26.792919034037585</v>
      </c>
      <c r="AO11" s="300">
        <f t="shared" si="11"/>
        <v>15.406669769232435</v>
      </c>
      <c r="AP11" s="300">
        <f t="shared" si="12"/>
        <v>4.354445999786976</v>
      </c>
      <c r="AQ11" s="300">
        <f t="shared" si="13"/>
        <v>2.983855931421148E-2</v>
      </c>
      <c r="AR11" s="300"/>
      <c r="AS11" s="300">
        <f t="shared" si="14"/>
        <v>0</v>
      </c>
      <c r="AT11" s="300">
        <f t="shared" si="15"/>
        <v>1.1400318817200092E-2</v>
      </c>
      <c r="AU11" s="300">
        <f t="shared" si="16"/>
        <v>0.33843497771952041</v>
      </c>
      <c r="AV11" s="300">
        <f t="shared" si="17"/>
        <v>7.2863303445774337</v>
      </c>
      <c r="AW11" s="300">
        <f t="shared" si="18"/>
        <v>28.395782165130083</v>
      </c>
      <c r="AX11" s="300">
        <f t="shared" si="19"/>
        <v>42.662797876612025</v>
      </c>
      <c r="AY11" s="300">
        <f t="shared" si="20"/>
        <v>48.392101174574947</v>
      </c>
      <c r="AZ11" s="300">
        <f t="shared" si="21"/>
        <v>41.446331562251402</v>
      </c>
      <c r="BA11" s="300">
        <f t="shared" si="22"/>
        <v>21.445106388919818</v>
      </c>
      <c r="BB11" s="300">
        <f t="shared" si="23"/>
        <v>10.120834305125289</v>
      </c>
      <c r="BC11" s="300">
        <f t="shared" si="24"/>
        <v>2.1485484249689484</v>
      </c>
      <c r="BD11" s="300">
        <f t="shared" si="25"/>
        <v>2.2050593027203646E-2</v>
      </c>
    </row>
    <row r="12" spans="1:56" ht="15">
      <c r="A12" s="295" t="str">
        <f>VLOOKUP(CONCATENATE($C12," - ",$B12),[2]ACHIEV!$B$17:$C$50,2,FALSE)</f>
        <v>Retro1Slow</v>
      </c>
      <c r="B12" s="295" t="str">
        <f>'SC-Retro'!$C$7</f>
        <v>Retro</v>
      </c>
      <c r="C12" s="295" t="str">
        <f>'SC-Retro'!$C$8</f>
        <v>Irrigation Pressure</v>
      </c>
      <c r="D12" s="295" t="s">
        <v>685</v>
      </c>
      <c r="E12" s="295" t="str">
        <f>'SC-Retro'!$A$9</f>
        <v>Irrigation</v>
      </c>
      <c r="F12" s="296">
        <f t="shared" si="1"/>
        <v>1.9275088329124388E-3</v>
      </c>
      <c r="G12" s="297">
        <f>'SC-Retro'!A90</f>
        <v>724.6747995450213</v>
      </c>
      <c r="H12" s="297">
        <f>'SC-Retro'!B90</f>
        <v>13.25918550067858</v>
      </c>
      <c r="I12" s="290" t="str">
        <f>'SC-Retro'!C90</f>
        <v>Convert High Pressure Center Pivot to Low pressure system</v>
      </c>
      <c r="J12" s="301" t="str">
        <f>'SC-Retro'!D90</f>
        <v>Washington</v>
      </c>
      <c r="K12" s="299">
        <f>'SC-Retro'!E90</f>
        <v>5.2847953603782707E-3</v>
      </c>
      <c r="L12" s="299">
        <f>'SC-Retro'!F90</f>
        <v>1.0676593510546272E-2</v>
      </c>
      <c r="M12" s="299">
        <f>'SC-Retro'!G90</f>
        <v>1.9163996678981946E-2</v>
      </c>
      <c r="N12" s="299">
        <f>'SC-Retro'!H90</f>
        <v>3.1521185422544055E-2</v>
      </c>
      <c r="O12" s="299">
        <f>'SC-Retro'!I90</f>
        <v>4.8711435854228595E-2</v>
      </c>
      <c r="P12" s="299">
        <f>'SC-Retro'!J90</f>
        <v>7.0630272226603091E-2</v>
      </c>
      <c r="Q12" s="299">
        <f>'SC-Retro'!K90</f>
        <v>9.7223707878053484E-2</v>
      </c>
      <c r="R12" s="299">
        <f>'SC-Retro'!L90</f>
        <v>0.12758581918705997</v>
      </c>
      <c r="S12" s="299">
        <f>'SC-Retro'!M90</f>
        <v>0.15967039223956558</v>
      </c>
      <c r="T12" s="299">
        <f>'SC-Retro'!N90</f>
        <v>0.19199526254504365</v>
      </c>
      <c r="U12" s="299">
        <f>'SC-Retro'!O90</f>
        <v>0.21790324661197183</v>
      </c>
      <c r="V12" s="299">
        <f>'SC-Retro'!P90</f>
        <v>0.23439218772281772</v>
      </c>
      <c r="W12" s="299">
        <f>'SC-Retro'!Q90</f>
        <v>0.23806008673235909</v>
      </c>
      <c r="X12" s="299">
        <f>'SC-Retro'!R90</f>
        <v>0.22687712494258808</v>
      </c>
      <c r="Y12" s="299">
        <f>'SC-Retro'!S90</f>
        <v>0.20305238085912014</v>
      </c>
      <c r="Z12" s="299">
        <f>'SC-Retro'!T90</f>
        <v>0.16722846376219536</v>
      </c>
      <c r="AA12" s="299">
        <f>'SC-Retro'!U90</f>
        <v>0.12649279632221952</v>
      </c>
      <c r="AB12" s="299">
        <f>'SC-Retro'!V90</f>
        <v>8.7047646440269438E-2</v>
      </c>
      <c r="AC12" s="299">
        <f>'SC-Retro'!W90</f>
        <v>5.3940539051425596E-2</v>
      </c>
      <c r="AD12" s="299">
        <f>'SC-Retro'!X90</f>
        <v>2.6363102269565803E-2</v>
      </c>
      <c r="AE12" s="299">
        <f>'SC-Retro'!Y90</f>
        <v>2.6363102269565797</v>
      </c>
      <c r="AF12" s="300">
        <f t="shared" si="2"/>
        <v>0</v>
      </c>
      <c r="AG12" s="300">
        <f t="shared" si="3"/>
        <v>2.5386684722373709E-2</v>
      </c>
      <c r="AH12" s="300">
        <f t="shared" si="4"/>
        <v>1.3977691664348257</v>
      </c>
      <c r="AI12" s="300">
        <f t="shared" si="5"/>
        <v>16.836881911476841</v>
      </c>
      <c r="AJ12" s="300">
        <f t="shared" si="6"/>
        <v>66.690081669610962</v>
      </c>
      <c r="AK12" s="300">
        <f t="shared" si="7"/>
        <v>88.386366646732625</v>
      </c>
      <c r="AL12" s="300">
        <f t="shared" si="8"/>
        <v>85.568925175096695</v>
      </c>
      <c r="AM12" s="300">
        <f t="shared" si="9"/>
        <v>86.79340828673493</v>
      </c>
      <c r="AN12" s="300">
        <f t="shared" si="10"/>
        <v>40.802596768384738</v>
      </c>
      <c r="AO12" s="300">
        <f t="shared" si="11"/>
        <v>23.46262209575012</v>
      </c>
      <c r="AP12" s="300">
        <f t="shared" si="12"/>
        <v>6.6313306158727778</v>
      </c>
      <c r="AQ12" s="300">
        <f t="shared" si="13"/>
        <v>4.5440763744353789E-2</v>
      </c>
      <c r="AR12" s="300"/>
      <c r="AS12" s="300">
        <f t="shared" si="14"/>
        <v>0</v>
      </c>
      <c r="AT12" s="300">
        <f t="shared" si="15"/>
        <v>1.7361401015630436E-2</v>
      </c>
      <c r="AU12" s="300">
        <f t="shared" si="16"/>
        <v>0.51539833754821374</v>
      </c>
      <c r="AV12" s="300">
        <f t="shared" si="17"/>
        <v>11.096260119823038</v>
      </c>
      <c r="AW12" s="300">
        <f t="shared" si="18"/>
        <v>43.243576712742154</v>
      </c>
      <c r="AX12" s="300">
        <f t="shared" si="19"/>
        <v>64.97063409026309</v>
      </c>
      <c r="AY12" s="300">
        <f t="shared" si="20"/>
        <v>73.695717457759443</v>
      </c>
      <c r="AZ12" s="300">
        <f t="shared" si="21"/>
        <v>63.11809296011883</v>
      </c>
      <c r="BA12" s="300">
        <f t="shared" si="22"/>
        <v>32.65848068030926</v>
      </c>
      <c r="BB12" s="300">
        <f t="shared" si="23"/>
        <v>15.412890271009475</v>
      </c>
      <c r="BC12" s="300">
        <f t="shared" si="24"/>
        <v>3.2719971612643342</v>
      </c>
      <c r="BD12" s="300">
        <f t="shared" si="25"/>
        <v>3.358056860656896E-2</v>
      </c>
    </row>
    <row r="13" spans="1:56" ht="15">
      <c r="A13" s="295" t="str">
        <f>VLOOKUP(CONCATENATE($C13," - ",$B13),[2]ACHIEV!$B$17:$C$50,2,FALSE)</f>
        <v>Retro1Slow</v>
      </c>
      <c r="B13" s="295" t="str">
        <f>'SC-Retro'!$C$7</f>
        <v>Retro</v>
      </c>
      <c r="C13" s="295" t="str">
        <f>'SC-Retro'!$C$8</f>
        <v>Irrigation Pressure</v>
      </c>
      <c r="D13" s="295" t="s">
        <v>685</v>
      </c>
      <c r="E13" s="295" t="str">
        <f>'SC-Retro'!$A$9</f>
        <v>Irrigation</v>
      </c>
      <c r="F13" s="296">
        <f t="shared" si="1"/>
        <v>1.1468478597444107E-3</v>
      </c>
      <c r="G13" s="297">
        <f>'SC-Retro'!A91</f>
        <v>431.17402560129892</v>
      </c>
      <c r="H13" s="297">
        <f>'SC-Retro'!B91</f>
        <v>28.191001493484816</v>
      </c>
      <c r="I13" s="290" t="str">
        <f>'SC-Retro'!C91</f>
        <v>Convert wheel line systems to low pressure systems on alfalfa acreage</v>
      </c>
      <c r="J13" s="301" t="str">
        <f>'SC-Retro'!D91</f>
        <v>Washington</v>
      </c>
      <c r="K13" s="299">
        <f>'SC-Retro'!E91</f>
        <v>2.2762909907743413E-3</v>
      </c>
      <c r="L13" s="299">
        <f>'SC-Retro'!F91</f>
        <v>4.5986707077484128E-3</v>
      </c>
      <c r="M13" s="299">
        <f>'SC-Retro'!G91</f>
        <v>8.2544034371982936E-3</v>
      </c>
      <c r="N13" s="299">
        <f>'SC-Retro'!H91</f>
        <v>1.3576947734590948E-2</v>
      </c>
      <c r="O13" s="299">
        <f>'SC-Retro'!I91</f>
        <v>2.0981210249686216E-2</v>
      </c>
      <c r="P13" s="299">
        <f>'SC-Retro'!J91</f>
        <v>3.0422190715412665E-2</v>
      </c>
      <c r="Q13" s="299">
        <f>'SC-Retro'!K91</f>
        <v>4.1876635752391485E-2</v>
      </c>
      <c r="R13" s="299">
        <f>'SC-Retro'!L91</f>
        <v>5.4954341835722655E-2</v>
      </c>
      <c r="S13" s="299">
        <f>'SC-Retro'!M91</f>
        <v>6.8773954441693499E-2</v>
      </c>
      <c r="T13" s="299">
        <f>'SC-Retro'!N91</f>
        <v>8.2697068968694235E-2</v>
      </c>
      <c r="U13" s="299">
        <f>'SC-Retro'!O91</f>
        <v>9.3856273194996134E-2</v>
      </c>
      <c r="V13" s="299">
        <f>'SC-Retro'!P91</f>
        <v>0.10095846458341362</v>
      </c>
      <c r="W13" s="299">
        <f>'SC-Retro'!Q91</f>
        <v>0.1025383186555477</v>
      </c>
      <c r="X13" s="299">
        <f>'SC-Retro'!R91</f>
        <v>9.7721542709391179E-2</v>
      </c>
      <c r="Y13" s="299">
        <f>'SC-Retro'!S91</f>
        <v>8.7459641043094602E-2</v>
      </c>
      <c r="Z13" s="299">
        <f>'SC-Retro'!T91</f>
        <v>7.2029401236015311E-2</v>
      </c>
      <c r="AA13" s="299">
        <f>'SC-Retro'!U91</f>
        <v>5.4483550077426723E-2</v>
      </c>
      <c r="AB13" s="299">
        <f>'SC-Retro'!V91</f>
        <v>3.7493556485773308E-2</v>
      </c>
      <c r="AC13" s="299">
        <f>'SC-Retro'!W91</f>
        <v>2.3233513259723088E-2</v>
      </c>
      <c r="AD13" s="299">
        <f>'SC-Retro'!X91</f>
        <v>1.1355234799627105E-2</v>
      </c>
      <c r="AE13" s="299">
        <f>'SC-Retro'!Y91</f>
        <v>1.1355234799627103</v>
      </c>
      <c r="AF13" s="300">
        <f t="shared" si="2"/>
        <v>0</v>
      </c>
      <c r="AG13" s="300">
        <f t="shared" si="3"/>
        <v>1.5104815367236773E-2</v>
      </c>
      <c r="AH13" s="300">
        <f t="shared" si="4"/>
        <v>0.8316582261884401</v>
      </c>
      <c r="AI13" s="300">
        <f t="shared" si="5"/>
        <v>10.017770946227238</v>
      </c>
      <c r="AJ13" s="300">
        <f t="shared" si="6"/>
        <v>39.679910215201446</v>
      </c>
      <c r="AK13" s="300">
        <f t="shared" si="7"/>
        <v>52.588975826496174</v>
      </c>
      <c r="AL13" s="300">
        <f t="shared" si="8"/>
        <v>50.912627232638599</v>
      </c>
      <c r="AM13" s="300">
        <f t="shared" si="9"/>
        <v>51.64118204489003</v>
      </c>
      <c r="AN13" s="300">
        <f t="shared" si="10"/>
        <v>24.277123910830863</v>
      </c>
      <c r="AO13" s="300">
        <f t="shared" si="11"/>
        <v>13.96001796466232</v>
      </c>
      <c r="AP13" s="300">
        <f t="shared" si="12"/>
        <v>3.9455732675320823</v>
      </c>
      <c r="AQ13" s="300">
        <f t="shared" si="13"/>
        <v>2.7036785386150775E-2</v>
      </c>
      <c r="AR13" s="300"/>
      <c r="AS13" s="300">
        <f t="shared" si="14"/>
        <v>0</v>
      </c>
      <c r="AT13" s="300">
        <f t="shared" si="15"/>
        <v>1.0329854399087313E-2</v>
      </c>
      <c r="AU13" s="300">
        <f t="shared" si="16"/>
        <v>0.3066566908748623</v>
      </c>
      <c r="AV13" s="300">
        <f t="shared" si="17"/>
        <v>6.602160235166302</v>
      </c>
      <c r="AW13" s="300">
        <f t="shared" si="18"/>
        <v>25.729481781811625</v>
      </c>
      <c r="AX13" s="300">
        <f t="shared" si="19"/>
        <v>38.656856653709731</v>
      </c>
      <c r="AY13" s="300">
        <f t="shared" si="20"/>
        <v>43.848191196641665</v>
      </c>
      <c r="AZ13" s="300">
        <f t="shared" si="21"/>
        <v>37.554613803292163</v>
      </c>
      <c r="BA13" s="300">
        <f t="shared" si="22"/>
        <v>19.431458902382268</v>
      </c>
      <c r="BB13" s="300">
        <f t="shared" si="23"/>
        <v>9.170510618659069</v>
      </c>
      <c r="BC13" s="300">
        <f t="shared" si="24"/>
        <v>1.94680453724087</v>
      </c>
      <c r="BD13" s="300">
        <f t="shared" si="25"/>
        <v>1.9980091700671051E-2</v>
      </c>
    </row>
    <row r="14" spans="1:56" ht="15">
      <c r="A14" s="295" t="str">
        <f>VLOOKUP(CONCATENATE($C14," - ",$B14),[2]ACHIEV!$B$17:$C$50,2,FALSE)</f>
        <v>Retro1Slow</v>
      </c>
      <c r="B14" s="295" t="str">
        <f>'SC-Retro'!$C$7</f>
        <v>Retro</v>
      </c>
      <c r="C14" s="295" t="str">
        <f>'SC-Retro'!$C$8</f>
        <v>Irrigation Pressure</v>
      </c>
      <c r="D14" s="295" t="s">
        <v>685</v>
      </c>
      <c r="E14" s="295" t="str">
        <f>'SC-Retro'!$A$9</f>
        <v>Irrigation</v>
      </c>
      <c r="F14" s="296">
        <f t="shared" si="1"/>
        <v>1.1468478597444107E-3</v>
      </c>
      <c r="G14" s="297">
        <f>'SC-Retro'!A92</f>
        <v>431.17402560129892</v>
      </c>
      <c r="H14" s="297">
        <f>'SC-Retro'!B92</f>
        <v>41.999968562337358</v>
      </c>
      <c r="I14" s="290" t="str">
        <f>'SC-Retro'!C92</f>
        <v>Convert hand line systems to low pressure systems on alfalfa acreage</v>
      </c>
      <c r="J14" s="301" t="str">
        <f>'SC-Retro'!D92</f>
        <v>Washington</v>
      </c>
      <c r="K14" s="299">
        <f>'SC-Retro'!E92</f>
        <v>6.2242321190214805E-4</v>
      </c>
      <c r="L14" s="299">
        <f>'SC-Retro'!F92</f>
        <v>1.2574488077305957E-3</v>
      </c>
      <c r="M14" s="299">
        <f>'SC-Retro'!G92</f>
        <v>2.2570630558834469E-3</v>
      </c>
      <c r="N14" s="299">
        <f>'SC-Retro'!H92</f>
        <v>3.7124460146094906E-3</v>
      </c>
      <c r="O14" s="299">
        <f>'SC-Retro'!I92</f>
        <v>5.7370487016519508E-3</v>
      </c>
      <c r="P14" s="299">
        <f>'SC-Retro'!J92</f>
        <v>8.3185663585767858E-3</v>
      </c>
      <c r="Q14" s="299">
        <f>'SC-Retro'!K92</f>
        <v>1.1450640640541809E-2</v>
      </c>
      <c r="R14" s="299">
        <f>'SC-Retro'!L92</f>
        <v>1.5026575289358498E-2</v>
      </c>
      <c r="S14" s="299">
        <f>'SC-Retro'!M92</f>
        <v>1.8805374968447728E-2</v>
      </c>
      <c r="T14" s="299">
        <f>'SC-Retro'!N92</f>
        <v>2.2612475949253905E-2</v>
      </c>
      <c r="U14" s="299">
        <f>'SC-Retro'!O92</f>
        <v>2.5663820335783353E-2</v>
      </c>
      <c r="V14" s="299">
        <f>'SC-Retro'!P92</f>
        <v>2.7605825463176494E-2</v>
      </c>
      <c r="W14" s="299">
        <f>'SC-Retro'!Q92</f>
        <v>2.8037816737534561E-2</v>
      </c>
      <c r="X14" s="299">
        <f>'SC-Retro'!R92</f>
        <v>2.6720729788822489E-2</v>
      </c>
      <c r="Y14" s="299">
        <f>'SC-Retro'!S92</f>
        <v>2.3914741529304086E-2</v>
      </c>
      <c r="Z14" s="299">
        <f>'SC-Retro'!T92</f>
        <v>1.9695536049834362E-2</v>
      </c>
      <c r="AA14" s="299">
        <f>'SC-Retro'!U92</f>
        <v>1.4897843189849578E-2</v>
      </c>
      <c r="AB14" s="299">
        <f>'SC-Retro'!V92</f>
        <v>1.0252142607466446E-2</v>
      </c>
      <c r="AC14" s="299">
        <f>'SC-Retro'!W92</f>
        <v>6.3529127011870586E-3</v>
      </c>
      <c r="AD14" s="299">
        <f>'SC-Retro'!X92</f>
        <v>3.1049464873041813E-3</v>
      </c>
      <c r="AE14" s="299">
        <f>'SC-Retro'!Y92</f>
        <v>0.31049464873041815</v>
      </c>
      <c r="AF14" s="300">
        <f t="shared" si="2"/>
        <v>0</v>
      </c>
      <c r="AG14" s="300">
        <f t="shared" si="3"/>
        <v>1.5104815367236773E-2</v>
      </c>
      <c r="AH14" s="300">
        <f t="shared" si="4"/>
        <v>0.8316582261884401</v>
      </c>
      <c r="AI14" s="300">
        <f t="shared" si="5"/>
        <v>10.017770946227238</v>
      </c>
      <c r="AJ14" s="300">
        <f t="shared" si="6"/>
        <v>39.679910215201446</v>
      </c>
      <c r="AK14" s="300">
        <f t="shared" si="7"/>
        <v>52.588975826496174</v>
      </c>
      <c r="AL14" s="300">
        <f t="shared" si="8"/>
        <v>50.912627232638599</v>
      </c>
      <c r="AM14" s="300">
        <f t="shared" si="9"/>
        <v>51.64118204489003</v>
      </c>
      <c r="AN14" s="300">
        <f t="shared" si="10"/>
        <v>24.277123910830863</v>
      </c>
      <c r="AO14" s="300">
        <f t="shared" si="11"/>
        <v>13.96001796466232</v>
      </c>
      <c r="AP14" s="300">
        <f t="shared" si="12"/>
        <v>3.9455732675320823</v>
      </c>
      <c r="AQ14" s="300">
        <f t="shared" si="13"/>
        <v>2.7036785386150775E-2</v>
      </c>
      <c r="AR14" s="300"/>
      <c r="AS14" s="300">
        <f t="shared" si="14"/>
        <v>0</v>
      </c>
      <c r="AT14" s="300">
        <f t="shared" si="15"/>
        <v>1.0329854399087313E-2</v>
      </c>
      <c r="AU14" s="300">
        <f t="shared" si="16"/>
        <v>0.3066566908748623</v>
      </c>
      <c r="AV14" s="300">
        <f t="shared" si="17"/>
        <v>6.602160235166302</v>
      </c>
      <c r="AW14" s="300">
        <f t="shared" si="18"/>
        <v>25.729481781811625</v>
      </c>
      <c r="AX14" s="300">
        <f t="shared" si="19"/>
        <v>38.656856653709731</v>
      </c>
      <c r="AY14" s="300">
        <f t="shared" si="20"/>
        <v>43.848191196641665</v>
      </c>
      <c r="AZ14" s="300">
        <f t="shared" si="21"/>
        <v>37.554613803292163</v>
      </c>
      <c r="BA14" s="300">
        <f t="shared" si="22"/>
        <v>19.431458902382268</v>
      </c>
      <c r="BB14" s="300">
        <f t="shared" si="23"/>
        <v>9.170510618659069</v>
      </c>
      <c r="BC14" s="300">
        <f t="shared" si="24"/>
        <v>1.94680453724087</v>
      </c>
      <c r="BD14" s="300">
        <f t="shared" si="25"/>
        <v>1.9980091700671051E-2</v>
      </c>
    </row>
    <row r="15" spans="1:56" ht="15">
      <c r="A15" s="295" t="str">
        <f>VLOOKUP(CONCATENATE($C15," - ",$B15),[2]ACHIEV!$B$17:$C$50,2,FALSE)</f>
        <v>Retro1Slow</v>
      </c>
      <c r="B15" s="295" t="str">
        <f>'SC-Retro'!$C$7</f>
        <v>Retro</v>
      </c>
      <c r="C15" s="295" t="str">
        <f>'SC-Retro'!$C$8</f>
        <v>Irrigation Pressure</v>
      </c>
      <c r="D15" s="295" t="s">
        <v>685</v>
      </c>
      <c r="E15" s="295" t="str">
        <f>'SC-Retro'!$A$9</f>
        <v>Irrigation</v>
      </c>
      <c r="F15" s="296">
        <f t="shared" si="1"/>
        <v>6.8549121933489973E-4</v>
      </c>
      <c r="G15" s="297">
        <f>'SC-Retro'!A93</f>
        <v>257.72032972258603</v>
      </c>
      <c r="H15" s="297">
        <f>'SC-Retro'!B93</f>
        <v>204.30161429755307</v>
      </c>
      <c r="I15" s="290" t="str">
        <f>'SC-Retro'!C93</f>
        <v>Convert Medium Pressure Center Pivot to Low pressure system</v>
      </c>
      <c r="J15" s="301" t="str">
        <f>'SC-Retro'!D93</f>
        <v>Oregon</v>
      </c>
      <c r="K15" s="299">
        <f>'SC-Retro'!E93</f>
        <v>3.3474735370784344E-3</v>
      </c>
      <c r="L15" s="299">
        <f>'SC-Retro'!F93</f>
        <v>6.7590355243284375E-3</v>
      </c>
      <c r="M15" s="299">
        <f>'SC-Retro'!G93</f>
        <v>1.2121694056260719E-2</v>
      </c>
      <c r="N15" s="299">
        <f>'SC-Retro'!H93</f>
        <v>1.9937977734388816E-2</v>
      </c>
      <c r="O15" s="299">
        <f>'SC-Retro'!I93</f>
        <v>3.0862368008053972E-2</v>
      </c>
      <c r="P15" s="299">
        <f>'SC-Retro'!J93</f>
        <v>4.473540797651826E-2</v>
      </c>
      <c r="Q15" s="299">
        <f>'SC-Retro'!K93</f>
        <v>6.1587228353742814E-2</v>
      </c>
      <c r="R15" s="299">
        <f>'SC-Retro'!L93</f>
        <v>8.0863071644139778E-2</v>
      </c>
      <c r="S15" s="299">
        <f>'SC-Retro'!M93</f>
        <v>0.10122031272708044</v>
      </c>
      <c r="T15" s="299">
        <f>'SC-Retro'!N93</f>
        <v>0.12191236276888626</v>
      </c>
      <c r="U15" s="299">
        <f>'SC-Retro'!O93</f>
        <v>0.13840051767800776</v>
      </c>
      <c r="V15" s="299">
        <f>'SC-Retro'!P93</f>
        <v>0.14897116995903306</v>
      </c>
      <c r="W15" s="299">
        <f>'SC-Retro'!Q93</f>
        <v>0.1512476739485894</v>
      </c>
      <c r="X15" s="299">
        <f>'SC-Retro'!R93</f>
        <v>0.14424304479298475</v>
      </c>
      <c r="Y15" s="299">
        <f>'SC-Retro'!S93</f>
        <v>0.12931054930458144</v>
      </c>
      <c r="Z15" s="299">
        <f>'SC-Retro'!T93</f>
        <v>0.10653013241664779</v>
      </c>
      <c r="AA15" s="299">
        <f>'SC-Retro'!U93</f>
        <v>8.0630601611877822E-2</v>
      </c>
      <c r="AB15" s="299">
        <f>'SC-Retro'!V93</f>
        <v>5.5521745144789254E-2</v>
      </c>
      <c r="AC15" s="299">
        <f>'SC-Retro'!W93</f>
        <v>3.4416392328756991E-2</v>
      </c>
      <c r="AD15" s="299">
        <f>'SC-Retro'!X93</f>
        <v>1.6855598336961305E-2</v>
      </c>
      <c r="AE15" s="299">
        <f>'SC-Retro'!Y93</f>
        <v>1.6855598336961299</v>
      </c>
      <c r="AF15" s="300">
        <f t="shared" si="2"/>
        <v>0</v>
      </c>
      <c r="AG15" s="300">
        <f t="shared" si="3"/>
        <v>9.0284148990985007E-3</v>
      </c>
      <c r="AH15" s="300">
        <f t="shared" si="4"/>
        <v>0.49709680904567954</v>
      </c>
      <c r="AI15" s="300">
        <f t="shared" si="5"/>
        <v>5.9877986104255001</v>
      </c>
      <c r="AJ15" s="300">
        <f t="shared" si="6"/>
        <v>23.717383090883295</v>
      </c>
      <c r="AK15" s="300">
        <f t="shared" si="7"/>
        <v>31.433359583469471</v>
      </c>
      <c r="AL15" s="300">
        <f t="shared" si="8"/>
        <v>30.431376424264844</v>
      </c>
      <c r="AM15" s="300">
        <f t="shared" si="9"/>
        <v>30.866846501973182</v>
      </c>
      <c r="AN15" s="300">
        <f t="shared" si="10"/>
        <v>14.510865700432765</v>
      </c>
      <c r="AO15" s="300">
        <f t="shared" si="11"/>
        <v>8.3441492742255754</v>
      </c>
      <c r="AP15" s="300">
        <f t="shared" si="12"/>
        <v>2.3583388216275849</v>
      </c>
      <c r="AQ15" s="300">
        <f t="shared" si="13"/>
        <v>1.6160364100412508E-2</v>
      </c>
      <c r="AR15" s="300"/>
      <c r="AS15" s="300">
        <f t="shared" si="14"/>
        <v>0</v>
      </c>
      <c r="AT15" s="300">
        <f t="shared" si="15"/>
        <v>6.1743364016570027E-3</v>
      </c>
      <c r="AU15" s="300">
        <f t="shared" si="16"/>
        <v>0.18329411975522436</v>
      </c>
      <c r="AV15" s="300">
        <f t="shared" si="17"/>
        <v>3.9462277680468878</v>
      </c>
      <c r="AW15" s="300">
        <f t="shared" si="18"/>
        <v>15.378965648852358</v>
      </c>
      <c r="AX15" s="300">
        <f t="shared" si="19"/>
        <v>23.105885909846428</v>
      </c>
      <c r="AY15" s="300">
        <f t="shared" si="20"/>
        <v>26.208838246177141</v>
      </c>
      <c r="AZ15" s="300">
        <f t="shared" si="21"/>
        <v>22.447055892319693</v>
      </c>
      <c r="BA15" s="300">
        <f t="shared" si="22"/>
        <v>11.614526149456792</v>
      </c>
      <c r="BB15" s="300">
        <f t="shared" si="23"/>
        <v>5.4813761498488835</v>
      </c>
      <c r="BC15" s="300">
        <f t="shared" si="24"/>
        <v>1.1636394528716065</v>
      </c>
      <c r="BD15" s="300">
        <f t="shared" si="25"/>
        <v>1.1942453661960421E-2</v>
      </c>
    </row>
    <row r="16" spans="1:56" ht="15">
      <c r="A16" s="295" t="str">
        <f>VLOOKUP(CONCATENATE($C16," - ",$B16),[2]ACHIEV!$B$17:$C$50,2,FALSE)</f>
        <v>Retro1Slow</v>
      </c>
      <c r="B16" s="295" t="str">
        <f>'SC-Retro'!$C$7</f>
        <v>Retro</v>
      </c>
      <c r="C16" s="295" t="str">
        <f>'SC-Retro'!$C$8</f>
        <v>Irrigation Pressure</v>
      </c>
      <c r="D16" s="295" t="s">
        <v>685</v>
      </c>
      <c r="E16" s="295" t="str">
        <f>'SC-Retro'!$A$9</f>
        <v>Irrigation</v>
      </c>
      <c r="F16" s="296">
        <f t="shared" si="1"/>
        <v>1.1413508882676007E-3</v>
      </c>
      <c r="G16" s="297">
        <f>'SC-Retro'!A94</f>
        <v>429.10735973962136</v>
      </c>
      <c r="H16" s="297">
        <f>'SC-Retro'!B94</f>
        <v>17.261624981414094</v>
      </c>
      <c r="I16" s="290" t="str">
        <f>'SC-Retro'!C94</f>
        <v>Convert High Pressure Center Pivot to Low pressure system</v>
      </c>
      <c r="J16" s="301" t="str">
        <f>'SC-Retro'!D94</f>
        <v>Oregon</v>
      </c>
      <c r="K16" s="299">
        <f>'SC-Retro'!E94</f>
        <v>2.0061423586732021E-3</v>
      </c>
      <c r="L16" s="299">
        <f>'SC-Retro'!F94</f>
        <v>4.0506929536376799E-3</v>
      </c>
      <c r="M16" s="299">
        <f>'SC-Retro'!G94</f>
        <v>7.264536563406452E-3</v>
      </c>
      <c r="N16" s="299">
        <f>'SC-Retro'!H94</f>
        <v>1.1948838799230622E-2</v>
      </c>
      <c r="O16" s="299">
        <f>'SC-Retro'!I94</f>
        <v>1.8495830680697344E-2</v>
      </c>
      <c r="P16" s="299">
        <f>'SC-Retro'!J94</f>
        <v>2.6809949617270862E-2</v>
      </c>
      <c r="Q16" s="299">
        <f>'SC-Retro'!K94</f>
        <v>3.6909252959040725E-2</v>
      </c>
      <c r="R16" s="299">
        <f>'SC-Retro'!L94</f>
        <v>4.8461274295634162E-2</v>
      </c>
      <c r="S16" s="299">
        <f>'SC-Retro'!M94</f>
        <v>6.0661377803503259E-2</v>
      </c>
      <c r="T16" s="299">
        <f>'SC-Retro'!N94</f>
        <v>7.3062132467237445E-2</v>
      </c>
      <c r="U16" s="299">
        <f>'SC-Retro'!O94</f>
        <v>8.2943490934502054E-2</v>
      </c>
      <c r="V16" s="299">
        <f>'SC-Retro'!P94</f>
        <v>8.9278487481861901E-2</v>
      </c>
      <c r="W16" s="299">
        <f>'SC-Retro'!Q94</f>
        <v>9.064279732107379E-2</v>
      </c>
      <c r="X16" s="299">
        <f>'SC-Retro'!R94</f>
        <v>8.6444919996516906E-2</v>
      </c>
      <c r="Y16" s="299">
        <f>'SC-Retro'!S94</f>
        <v>7.7495868902261636E-2</v>
      </c>
      <c r="Z16" s="299">
        <f>'SC-Retro'!T94</f>
        <v>6.3843555071872352E-2</v>
      </c>
      <c r="AA16" s="299">
        <f>'SC-Retro'!U94</f>
        <v>4.8321954903359034E-2</v>
      </c>
      <c r="AB16" s="299">
        <f>'SC-Retro'!V94</f>
        <v>3.3274206212137142E-2</v>
      </c>
      <c r="AC16" s="299">
        <f>'SC-Retro'!W94</f>
        <v>2.0625759014571431E-2</v>
      </c>
      <c r="AD16" s="299">
        <f>'SC-Retro'!X94</f>
        <v>1.0101567474696769E-2</v>
      </c>
      <c r="AE16" s="299">
        <f>'SC-Retro'!Y94</f>
        <v>1.0101567474696769</v>
      </c>
      <c r="AF16" s="300">
        <f t="shared" si="2"/>
        <v>0</v>
      </c>
      <c r="AG16" s="300">
        <f t="shared" si="3"/>
        <v>1.503241627913568E-2</v>
      </c>
      <c r="AH16" s="300">
        <f t="shared" si="4"/>
        <v>0.82767199426676985</v>
      </c>
      <c r="AI16" s="300">
        <f t="shared" si="5"/>
        <v>9.9697546372768056</v>
      </c>
      <c r="AJ16" s="300">
        <f t="shared" si="6"/>
        <v>39.489719918553064</v>
      </c>
      <c r="AK16" s="300">
        <f t="shared" si="7"/>
        <v>52.336910918621349</v>
      </c>
      <c r="AL16" s="300">
        <f t="shared" si="8"/>
        <v>50.668597253134905</v>
      </c>
      <c r="AM16" s="300">
        <f t="shared" si="9"/>
        <v>51.393660019786552</v>
      </c>
      <c r="AN16" s="300">
        <f t="shared" si="10"/>
        <v>24.160760910679677</v>
      </c>
      <c r="AO16" s="300">
        <f t="shared" si="11"/>
        <v>13.893106019964959</v>
      </c>
      <c r="AP16" s="300">
        <f t="shared" si="12"/>
        <v>3.9266616886970982</v>
      </c>
      <c r="AQ16" s="300">
        <f t="shared" si="13"/>
        <v>2.690719501648707E-2</v>
      </c>
      <c r="AR16" s="300"/>
      <c r="AS16" s="300">
        <f t="shared" si="14"/>
        <v>0</v>
      </c>
      <c r="AT16" s="300">
        <f t="shared" si="15"/>
        <v>1.0280342238857062E-2</v>
      </c>
      <c r="AU16" s="300">
        <f t="shared" si="16"/>
        <v>0.30518685067889434</v>
      </c>
      <c r="AV16" s="300">
        <f t="shared" si="17"/>
        <v>6.5705153345897527</v>
      </c>
      <c r="AW16" s="300">
        <f t="shared" si="18"/>
        <v>25.606157466152837</v>
      </c>
      <c r="AX16" s="300">
        <f t="shared" si="19"/>
        <v>38.471569968468025</v>
      </c>
      <c r="AY16" s="300">
        <f t="shared" si="20"/>
        <v>43.63802185790184</v>
      </c>
      <c r="AZ16" s="300">
        <f t="shared" si="21"/>
        <v>37.374610292673651</v>
      </c>
      <c r="BA16" s="300">
        <f t="shared" si="22"/>
        <v>19.338321722562263</v>
      </c>
      <c r="BB16" s="300">
        <f t="shared" si="23"/>
        <v>9.1265553242664996</v>
      </c>
      <c r="BC16" s="300">
        <f t="shared" si="24"/>
        <v>1.9374732829500674</v>
      </c>
      <c r="BD16" s="300">
        <f t="shared" si="25"/>
        <v>1.9884324861809691E-2</v>
      </c>
    </row>
    <row r="17" spans="1:56" ht="15">
      <c r="A17" s="295" t="str">
        <f>VLOOKUP(CONCATENATE($C17," - ",$B17),[2]ACHIEV!$B$17:$C$50,2,FALSE)</f>
        <v>Retro1Slow</v>
      </c>
      <c r="B17" s="295" t="str">
        <f>'SC-Retro'!$C$7</f>
        <v>Retro</v>
      </c>
      <c r="C17" s="295" t="str">
        <f>'SC-Retro'!$C$8</f>
        <v>Irrigation Pressure</v>
      </c>
      <c r="D17" s="295" t="s">
        <v>685</v>
      </c>
      <c r="E17" s="295" t="str">
        <f>'SC-Retro'!$A$9</f>
        <v>Irrigation</v>
      </c>
      <c r="F17" s="296">
        <f t="shared" si="1"/>
        <v>1.1151358827751789E-3</v>
      </c>
      <c r="G17" s="297">
        <f>'SC-Retro'!A95</f>
        <v>419.25144960011363</v>
      </c>
      <c r="H17" s="297">
        <f>'SC-Retro'!B95</f>
        <v>39.839966914364851</v>
      </c>
      <c r="I17" s="290" t="str">
        <f>'SC-Retro'!C95</f>
        <v>Convert wheel line systems to low pressure systems on alfalfa acreage</v>
      </c>
      <c r="J17" s="301" t="str">
        <f>'SC-Retro'!D95</f>
        <v>Oregon</v>
      </c>
      <c r="K17" s="299">
        <f>'SC-Retro'!E95</f>
        <v>2.1097885726890737E-3</v>
      </c>
      <c r="L17" s="299">
        <f>'SC-Retro'!F95</f>
        <v>4.259969721545109E-3</v>
      </c>
      <c r="M17" s="299">
        <f>'SC-Retro'!G95</f>
        <v>7.6398547496367266E-3</v>
      </c>
      <c r="N17" s="299">
        <f>'SC-Retro'!H95</f>
        <v>1.2566168819740877E-2</v>
      </c>
      <c r="O17" s="299">
        <f>'SC-Retro'!I95</f>
        <v>1.9451407345954908E-2</v>
      </c>
      <c r="P17" s="299">
        <f>'SC-Retro'!J95</f>
        <v>2.8195070550375616E-2</v>
      </c>
      <c r="Q17" s="299">
        <f>'SC-Retro'!K95</f>
        <v>3.8816148705905239E-2</v>
      </c>
      <c r="R17" s="299">
        <f>'SC-Retro'!L95</f>
        <v>5.0964998712504102E-2</v>
      </c>
      <c r="S17" s="299">
        <f>'SC-Retro'!M95</f>
        <v>6.3795413690407005E-2</v>
      </c>
      <c r="T17" s="299">
        <f>'SC-Retro'!N95</f>
        <v>7.6836846353027469E-2</v>
      </c>
      <c r="U17" s="299">
        <f>'SC-Retro'!O95</f>
        <v>8.7228719634974999E-2</v>
      </c>
      <c r="V17" s="299">
        <f>'SC-Retro'!P95</f>
        <v>9.3891010207656028E-2</v>
      </c>
      <c r="W17" s="299">
        <f>'SC-Retro'!Q95</f>
        <v>9.5325806345593206E-2</v>
      </c>
      <c r="X17" s="299">
        <f>'SC-Retro'!R95</f>
        <v>9.091104805557923E-2</v>
      </c>
      <c r="Y17" s="299">
        <f>'SC-Retro'!S95</f>
        <v>8.1499649281487535E-2</v>
      </c>
      <c r="Z17" s="299">
        <f>'SC-Retro'!T95</f>
        <v>6.7141996353422134E-2</v>
      </c>
      <c r="AA17" s="299">
        <f>'SC-Retro'!U95</f>
        <v>5.0818481462367136E-2</v>
      </c>
      <c r="AB17" s="299">
        <f>'SC-Retro'!V95</f>
        <v>3.4993299318048274E-2</v>
      </c>
      <c r="AC17" s="299">
        <f>'SC-Retro'!W95</f>
        <v>2.1691377226470368E-2</v>
      </c>
      <c r="AD17" s="299">
        <f>'SC-Retro'!X95</f>
        <v>1.0623459263607813E-2</v>
      </c>
      <c r="AE17" s="299">
        <f>'SC-Retro'!Y95</f>
        <v>1.0623459263607815</v>
      </c>
      <c r="AF17" s="300">
        <f t="shared" si="2"/>
        <v>0</v>
      </c>
      <c r="AG17" s="300">
        <f t="shared" si="3"/>
        <v>1.4687145706016787E-2</v>
      </c>
      <c r="AH17" s="300">
        <f t="shared" si="4"/>
        <v>0.80866169156436385</v>
      </c>
      <c r="AI17" s="300">
        <f t="shared" si="5"/>
        <v>9.7407653095767071</v>
      </c>
      <c r="AJ17" s="300">
        <f t="shared" si="6"/>
        <v>38.582704175015706</v>
      </c>
      <c r="AK17" s="300">
        <f t="shared" si="7"/>
        <v>51.134815733616016</v>
      </c>
      <c r="AL17" s="300">
        <f t="shared" si="8"/>
        <v>49.504820566282397</v>
      </c>
      <c r="AM17" s="300">
        <f t="shared" si="9"/>
        <v>50.213229800172549</v>
      </c>
      <c r="AN17" s="300">
        <f t="shared" si="10"/>
        <v>23.605826852726715</v>
      </c>
      <c r="AO17" s="300">
        <f t="shared" si="11"/>
        <v>13.574003582350009</v>
      </c>
      <c r="AP17" s="300">
        <f t="shared" si="12"/>
        <v>3.8364725463446354</v>
      </c>
      <c r="AQ17" s="300">
        <f t="shared" si="13"/>
        <v>2.6289179757206446E-2</v>
      </c>
      <c r="AR17" s="300"/>
      <c r="AS17" s="300">
        <f t="shared" si="14"/>
        <v>0</v>
      </c>
      <c r="AT17" s="300">
        <f t="shared" si="15"/>
        <v>1.0044219210412521E-2</v>
      </c>
      <c r="AU17" s="300">
        <f t="shared" si="16"/>
        <v>0.29817719654973729</v>
      </c>
      <c r="AV17" s="300">
        <f t="shared" si="17"/>
        <v>6.4196011001024464</v>
      </c>
      <c r="AW17" s="300">
        <f t="shared" si="18"/>
        <v>25.018024959738536</v>
      </c>
      <c r="AX17" s="300">
        <f t="shared" si="19"/>
        <v>37.5879395018056</v>
      </c>
      <c r="AY17" s="300">
        <f t="shared" si="20"/>
        <v>42.635726249739051</v>
      </c>
      <c r="AZ17" s="300">
        <f t="shared" si="21"/>
        <v>36.516175236311</v>
      </c>
      <c r="BA17" s="300">
        <f t="shared" si="22"/>
        <v>18.894151384253181</v>
      </c>
      <c r="BB17" s="300">
        <f t="shared" si="23"/>
        <v>8.916932936960448</v>
      </c>
      <c r="BC17" s="300">
        <f t="shared" si="24"/>
        <v>1.8929726186267151</v>
      </c>
      <c r="BD17" s="300">
        <f t="shared" si="25"/>
        <v>1.9427613704159789E-2</v>
      </c>
    </row>
    <row r="18" spans="1:56" ht="15">
      <c r="A18" s="295" t="str">
        <f>VLOOKUP(CONCATENATE($C18," - ",$B18),[2]ACHIEV!$B$17:$C$50,2,FALSE)</f>
        <v>Retro1Slow</v>
      </c>
      <c r="B18" s="295" t="str">
        <f>'SC-Retro'!$C$7</f>
        <v>Retro</v>
      </c>
      <c r="C18" s="295" t="str">
        <f>'SC-Retro'!$C$8</f>
        <v>Irrigation Pressure</v>
      </c>
      <c r="D18" s="295" t="s">
        <v>685</v>
      </c>
      <c r="E18" s="295" t="str">
        <f>'SC-Retro'!$A$9</f>
        <v>Irrigation</v>
      </c>
      <c r="F18" s="296">
        <f t="shared" si="1"/>
        <v>1.1151358827751789E-3</v>
      </c>
      <c r="G18" s="297">
        <f>'SC-Retro'!A96</f>
        <v>419.25144960011363</v>
      </c>
      <c r="H18" s="297">
        <f>'SC-Retro'!B96</f>
        <v>50.479270561118348</v>
      </c>
      <c r="I18" s="290" t="str">
        <f>'SC-Retro'!C96</f>
        <v>Convert hand line systems to low pressure systems on alfalfa acreage</v>
      </c>
      <c r="J18" s="301" t="str">
        <f>'SC-Retro'!D96</f>
        <v>Oregon</v>
      </c>
      <c r="K18" s="299">
        <f>'SC-Retro'!E96</f>
        <v>6.8651397473524242E-4</v>
      </c>
      <c r="L18" s="299">
        <f>'SC-Retro'!F96</f>
        <v>1.3861714788142015E-3</v>
      </c>
      <c r="M18" s="299">
        <f>'SC-Retro'!G96</f>
        <v>2.4859680815732541E-3</v>
      </c>
      <c r="N18" s="299">
        <f>'SC-Retro'!H96</f>
        <v>4.0889644655904321E-3</v>
      </c>
      <c r="O18" s="299">
        <f>'SC-Retro'!I96</f>
        <v>6.3293844436011961E-3</v>
      </c>
      <c r="P18" s="299">
        <f>'SC-Retro'!J96</f>
        <v>9.1745259226653081E-3</v>
      </c>
      <c r="Q18" s="299">
        <f>'SC-Retro'!K96</f>
        <v>1.2630568236532214E-2</v>
      </c>
      <c r="R18" s="299">
        <f>'SC-Retro'!L96</f>
        <v>1.6583739381004808E-2</v>
      </c>
      <c r="S18" s="299">
        <f>'SC-Retro'!M96</f>
        <v>2.0758688140328104E-2</v>
      </c>
      <c r="T18" s="299">
        <f>'SC-Retro'!N96</f>
        <v>2.5002300931370097E-2</v>
      </c>
      <c r="U18" s="299">
        <f>'SC-Retro'!O96</f>
        <v>2.8383761199041273E-2</v>
      </c>
      <c r="V18" s="299">
        <f>'SC-Retro'!P96</f>
        <v>3.0551635099345328E-2</v>
      </c>
      <c r="W18" s="299">
        <f>'SC-Retro'!Q96</f>
        <v>3.1018510127649501E-2</v>
      </c>
      <c r="X18" s="299">
        <f>'SC-Retro'!R96</f>
        <v>2.9581971272331937E-2</v>
      </c>
      <c r="Y18" s="299">
        <f>'SC-Retro'!S96</f>
        <v>2.6519552192118115E-2</v>
      </c>
      <c r="Z18" s="299">
        <f>'SC-Retro'!T96</f>
        <v>2.1847648330703139E-2</v>
      </c>
      <c r="AA18" s="299">
        <f>'SC-Retro'!U96</f>
        <v>1.6536063447472479E-2</v>
      </c>
      <c r="AB18" s="299">
        <f>'SC-Retro'!V96</f>
        <v>1.1386633388251736E-2</v>
      </c>
      <c r="AC18" s="299">
        <f>'SC-Retro'!W96</f>
        <v>7.0582587231693668E-3</v>
      </c>
      <c r="AD18" s="299">
        <f>'SC-Retro'!X96</f>
        <v>3.4568171137649593E-3</v>
      </c>
      <c r="AE18" s="299">
        <f>'SC-Retro'!Y96</f>
        <v>0.34568171137649584</v>
      </c>
      <c r="AF18" s="300">
        <f t="shared" si="2"/>
        <v>0</v>
      </c>
      <c r="AG18" s="300">
        <f t="shared" si="3"/>
        <v>1.4687145706016787E-2</v>
      </c>
      <c r="AH18" s="300">
        <f t="shared" si="4"/>
        <v>0.80866169156436385</v>
      </c>
      <c r="AI18" s="300">
        <f t="shared" si="5"/>
        <v>9.7407653095767071</v>
      </c>
      <c r="AJ18" s="300">
        <f t="shared" si="6"/>
        <v>38.582704175015706</v>
      </c>
      <c r="AK18" s="300">
        <f t="shared" si="7"/>
        <v>51.134815733616016</v>
      </c>
      <c r="AL18" s="300">
        <f t="shared" si="8"/>
        <v>49.504820566282397</v>
      </c>
      <c r="AM18" s="300">
        <f t="shared" si="9"/>
        <v>50.213229800172549</v>
      </c>
      <c r="AN18" s="300">
        <f t="shared" si="10"/>
        <v>23.605826852726715</v>
      </c>
      <c r="AO18" s="300">
        <f t="shared" si="11"/>
        <v>13.574003582350009</v>
      </c>
      <c r="AP18" s="300">
        <f t="shared" si="12"/>
        <v>3.8364725463446354</v>
      </c>
      <c r="AQ18" s="300">
        <f t="shared" si="13"/>
        <v>2.6289179757206446E-2</v>
      </c>
      <c r="AR18" s="300"/>
      <c r="AS18" s="300">
        <f t="shared" si="14"/>
        <v>0</v>
      </c>
      <c r="AT18" s="300">
        <f t="shared" si="15"/>
        <v>1.0044219210412521E-2</v>
      </c>
      <c r="AU18" s="300">
        <f t="shared" si="16"/>
        <v>0.29817719654973729</v>
      </c>
      <c r="AV18" s="300">
        <f t="shared" si="17"/>
        <v>6.4196011001024464</v>
      </c>
      <c r="AW18" s="300">
        <f t="shared" si="18"/>
        <v>25.018024959738536</v>
      </c>
      <c r="AX18" s="300">
        <f t="shared" si="19"/>
        <v>37.5879395018056</v>
      </c>
      <c r="AY18" s="300">
        <f t="shared" si="20"/>
        <v>42.635726249739051</v>
      </c>
      <c r="AZ18" s="300">
        <f t="shared" si="21"/>
        <v>36.516175236311</v>
      </c>
      <c r="BA18" s="300">
        <f t="shared" si="22"/>
        <v>18.894151384253181</v>
      </c>
      <c r="BB18" s="300">
        <f t="shared" si="23"/>
        <v>8.916932936960448</v>
      </c>
      <c r="BC18" s="300">
        <f t="shared" si="24"/>
        <v>1.8929726186267151</v>
      </c>
      <c r="BD18" s="300">
        <f t="shared" si="25"/>
        <v>1.9427613704159789E-2</v>
      </c>
    </row>
    <row r="19" spans="1:56" ht="15">
      <c r="A19" s="295"/>
      <c r="B19" s="295"/>
      <c r="C19" s="295"/>
      <c r="D19" s="295"/>
      <c r="E19" s="295"/>
      <c r="F19" s="296"/>
      <c r="G19" s="297"/>
      <c r="H19" s="297"/>
      <c r="J19" s="301"/>
      <c r="K19" s="299"/>
      <c r="L19" s="299"/>
      <c r="M19" s="299"/>
      <c r="N19" s="299"/>
      <c r="O19" s="299"/>
      <c r="P19" s="299"/>
      <c r="Q19" s="299"/>
      <c r="R19" s="299"/>
      <c r="S19" s="299"/>
      <c r="T19" s="299"/>
      <c r="U19" s="299"/>
      <c r="V19" s="299"/>
      <c r="W19" s="299"/>
      <c r="X19" s="299"/>
      <c r="Y19" s="299"/>
      <c r="Z19" s="299"/>
      <c r="AA19" s="299"/>
      <c r="AB19" s="299"/>
      <c r="AC19" s="299"/>
      <c r="AD19" s="299"/>
      <c r="AE19" s="299"/>
      <c r="AF19" s="300"/>
      <c r="AG19" s="300"/>
      <c r="AH19" s="300"/>
      <c r="AI19" s="300"/>
      <c r="AJ19" s="300"/>
      <c r="AK19" s="300"/>
      <c r="AL19" s="300"/>
      <c r="AM19" s="300"/>
      <c r="AN19" s="300"/>
      <c r="AO19" s="300"/>
      <c r="AP19" s="300"/>
      <c r="AQ19" s="300"/>
      <c r="AR19" s="300"/>
      <c r="AS19" s="300"/>
      <c r="AT19" s="300"/>
      <c r="AU19" s="300"/>
      <c r="AV19" s="300"/>
      <c r="AW19" s="300"/>
      <c r="AX19" s="300"/>
      <c r="AY19" s="300"/>
      <c r="AZ19" s="300"/>
      <c r="BA19" s="300"/>
      <c r="BB19" s="300"/>
      <c r="BC19" s="300"/>
      <c r="BD19" s="300"/>
    </row>
    <row r="20" spans="1:56" ht="15">
      <c r="A20" s="295"/>
      <c r="B20" s="295"/>
      <c r="C20" s="295"/>
      <c r="D20" s="295"/>
      <c r="E20" s="295"/>
      <c r="F20" s="296"/>
      <c r="G20" s="297"/>
      <c r="H20" s="297"/>
      <c r="J20" s="301"/>
      <c r="K20" s="299"/>
      <c r="L20" s="299"/>
      <c r="M20" s="299"/>
      <c r="N20" s="299"/>
      <c r="O20" s="299"/>
      <c r="P20" s="299"/>
      <c r="Q20" s="299"/>
      <c r="R20" s="299"/>
      <c r="S20" s="299"/>
      <c r="T20" s="299"/>
      <c r="U20" s="299"/>
      <c r="V20" s="299"/>
      <c r="W20" s="299"/>
      <c r="X20" s="299"/>
      <c r="Y20" s="299"/>
      <c r="Z20" s="299"/>
      <c r="AA20" s="299"/>
      <c r="AB20" s="299"/>
      <c r="AC20" s="299"/>
      <c r="AD20" s="299"/>
      <c r="AE20" s="299"/>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row>
    <row r="21" spans="1:56" ht="15">
      <c r="A21" s="295"/>
      <c r="B21" s="295"/>
      <c r="C21" s="295"/>
      <c r="D21" s="295"/>
      <c r="E21" s="295"/>
      <c r="F21" s="296"/>
      <c r="G21" s="297"/>
      <c r="H21" s="297"/>
      <c r="K21" s="299"/>
      <c r="L21" s="299"/>
      <c r="M21" s="299"/>
      <c r="N21" s="299"/>
      <c r="O21" s="299"/>
      <c r="P21" s="299"/>
      <c r="Q21" s="299"/>
      <c r="R21" s="299"/>
      <c r="S21" s="299"/>
      <c r="T21" s="299"/>
      <c r="U21" s="299"/>
      <c r="V21" s="299"/>
      <c r="W21" s="299"/>
      <c r="X21" s="299"/>
      <c r="Y21" s="299"/>
      <c r="Z21" s="299"/>
      <c r="AA21" s="299"/>
      <c r="AB21" s="299"/>
      <c r="AC21" s="299"/>
      <c r="AD21" s="299"/>
      <c r="AE21" s="299"/>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row>
    <row r="22" spans="1:56" ht="15">
      <c r="A22" s="295"/>
      <c r="B22" s="295"/>
      <c r="C22" s="295"/>
      <c r="D22" s="295"/>
      <c r="E22" s="295"/>
      <c r="F22" s="296"/>
      <c r="G22" s="297"/>
      <c r="H22" s="297"/>
      <c r="K22" s="299"/>
      <c r="L22" s="299"/>
      <c r="M22" s="299"/>
      <c r="N22" s="299"/>
      <c r="O22" s="299"/>
      <c r="P22" s="299"/>
      <c r="Q22" s="299"/>
      <c r="R22" s="299"/>
      <c r="S22" s="299"/>
      <c r="T22" s="299"/>
      <c r="U22" s="299"/>
      <c r="V22" s="299"/>
      <c r="W22" s="299"/>
      <c r="X22" s="299"/>
      <c r="Y22" s="299"/>
      <c r="Z22" s="299"/>
      <c r="AA22" s="299"/>
      <c r="AB22" s="299"/>
      <c r="AC22" s="299"/>
      <c r="AD22" s="299"/>
      <c r="AE22" s="299"/>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row>
    <row r="23" spans="1:56" ht="15">
      <c r="A23" s="295"/>
      <c r="B23" s="295"/>
      <c r="C23" s="295"/>
      <c r="D23" s="295"/>
      <c r="E23" s="295"/>
      <c r="F23" s="296"/>
      <c r="G23" s="297"/>
      <c r="H23" s="297"/>
      <c r="K23" s="299"/>
      <c r="L23" s="299"/>
      <c r="M23" s="299"/>
      <c r="N23" s="299"/>
      <c r="O23" s="299"/>
      <c r="P23" s="299"/>
      <c r="Q23" s="299"/>
      <c r="R23" s="299"/>
      <c r="S23" s="299"/>
      <c r="T23" s="299"/>
      <c r="U23" s="299"/>
      <c r="V23" s="299"/>
      <c r="W23" s="299"/>
      <c r="X23" s="299"/>
      <c r="Y23" s="299"/>
      <c r="Z23" s="299"/>
      <c r="AA23" s="299"/>
      <c r="AB23" s="299"/>
      <c r="AC23" s="299"/>
      <c r="AD23" s="299"/>
      <c r="AE23" s="299"/>
      <c r="AF23" s="300"/>
      <c r="AG23" s="300"/>
      <c r="AH23" s="300"/>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row>
    <row r="24" spans="1:56" ht="15">
      <c r="A24" s="295"/>
      <c r="B24" s="295"/>
      <c r="C24" s="295"/>
      <c r="D24" s="295"/>
      <c r="E24" s="295"/>
      <c r="F24" s="296"/>
      <c r="G24" s="297"/>
      <c r="H24" s="297"/>
      <c r="K24" s="299"/>
      <c r="L24" s="299"/>
      <c r="M24" s="299"/>
      <c r="N24" s="299"/>
      <c r="O24" s="299"/>
      <c r="P24" s="299"/>
      <c r="Q24" s="299"/>
      <c r="R24" s="299"/>
      <c r="S24" s="299"/>
      <c r="T24" s="299"/>
      <c r="U24" s="299"/>
      <c r="V24" s="299"/>
      <c r="W24" s="299"/>
      <c r="X24" s="299"/>
      <c r="Y24" s="299"/>
      <c r="Z24" s="299"/>
      <c r="AA24" s="299"/>
      <c r="AB24" s="299"/>
      <c r="AC24" s="299"/>
      <c r="AD24" s="299"/>
      <c r="AE24" s="299"/>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row>
    <row r="25" spans="1:56" ht="15">
      <c r="A25" s="295"/>
      <c r="B25" s="295"/>
      <c r="C25" s="295"/>
      <c r="D25" s="295"/>
      <c r="E25" s="295"/>
      <c r="F25" s="296"/>
      <c r="G25" s="297"/>
      <c r="H25" s="297"/>
      <c r="K25" s="299"/>
      <c r="L25" s="299"/>
      <c r="M25" s="299"/>
      <c r="N25" s="299"/>
      <c r="O25" s="299"/>
      <c r="P25" s="299"/>
      <c r="Q25" s="299"/>
      <c r="R25" s="299"/>
      <c r="S25" s="299"/>
      <c r="T25" s="299"/>
      <c r="U25" s="299"/>
      <c r="V25" s="299"/>
      <c r="W25" s="299"/>
      <c r="X25" s="299"/>
      <c r="Y25" s="299"/>
      <c r="Z25" s="299"/>
      <c r="AA25" s="299"/>
      <c r="AB25" s="299"/>
      <c r="AC25" s="299"/>
      <c r="AD25" s="299"/>
      <c r="AE25" s="299"/>
      <c r="AF25" s="300"/>
      <c r="AG25" s="300"/>
      <c r="AH25" s="300"/>
      <c r="AI25" s="300"/>
      <c r="AJ25" s="300"/>
      <c r="AK25" s="300"/>
      <c r="AL25" s="300"/>
      <c r="AM25" s="300"/>
      <c r="AN25" s="300"/>
      <c r="AO25" s="300"/>
      <c r="AP25" s="300"/>
      <c r="AQ25" s="300"/>
      <c r="AR25" s="300"/>
      <c r="AS25" s="300"/>
      <c r="AT25" s="300"/>
      <c r="AU25" s="300"/>
      <c r="AV25" s="300"/>
      <c r="AW25" s="300"/>
      <c r="AX25" s="300"/>
      <c r="AY25" s="300"/>
      <c r="AZ25" s="300"/>
      <c r="BA25" s="300"/>
      <c r="BB25" s="300"/>
      <c r="BC25" s="300"/>
      <c r="BD25" s="300"/>
    </row>
    <row r="26" spans="1:56" ht="15">
      <c r="A26" s="295"/>
      <c r="B26" s="295"/>
      <c r="C26" s="295"/>
      <c r="D26" s="295"/>
      <c r="E26" s="295"/>
      <c r="F26" s="296"/>
      <c r="G26" s="297"/>
      <c r="H26" s="297"/>
      <c r="K26" s="299"/>
      <c r="L26" s="299"/>
      <c r="M26" s="299"/>
      <c r="N26" s="299"/>
      <c r="O26" s="299"/>
      <c r="P26" s="299"/>
      <c r="Q26" s="299"/>
      <c r="R26" s="299"/>
      <c r="S26" s="299"/>
      <c r="T26" s="299"/>
      <c r="U26" s="299"/>
      <c r="V26" s="299"/>
      <c r="W26" s="299"/>
      <c r="X26" s="299"/>
      <c r="Y26" s="299"/>
      <c r="Z26" s="299"/>
      <c r="AA26" s="299"/>
      <c r="AB26" s="299"/>
      <c r="AC26" s="299"/>
      <c r="AD26" s="299"/>
      <c r="AE26" s="299"/>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row>
    <row r="27" spans="1:56" ht="15">
      <c r="A27" s="295"/>
      <c r="B27" s="295"/>
      <c r="C27" s="295"/>
      <c r="D27" s="295"/>
      <c r="E27" s="295"/>
      <c r="F27" s="296"/>
      <c r="G27" s="297"/>
      <c r="H27" s="297"/>
      <c r="K27" s="299"/>
      <c r="L27" s="299"/>
      <c r="M27" s="299"/>
      <c r="N27" s="299"/>
      <c r="O27" s="299"/>
      <c r="P27" s="299"/>
      <c r="Q27" s="299"/>
      <c r="R27" s="299"/>
      <c r="S27" s="299"/>
      <c r="T27" s="299"/>
      <c r="U27" s="299"/>
      <c r="V27" s="299"/>
      <c r="W27" s="299"/>
      <c r="X27" s="299"/>
      <c r="Y27" s="299"/>
      <c r="Z27" s="299"/>
      <c r="AA27" s="299"/>
      <c r="AB27" s="299"/>
      <c r="AC27" s="299"/>
      <c r="AD27" s="299"/>
      <c r="AE27" s="299"/>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0"/>
    </row>
    <row r="28" spans="1:56" ht="15">
      <c r="A28" s="295"/>
      <c r="B28" s="295"/>
      <c r="C28" s="295"/>
      <c r="D28" s="295"/>
      <c r="E28" s="295"/>
      <c r="F28" s="296"/>
      <c r="G28" s="297"/>
      <c r="H28" s="297"/>
      <c r="K28" s="299"/>
      <c r="L28" s="299"/>
      <c r="M28" s="299"/>
      <c r="N28" s="299"/>
      <c r="O28" s="299"/>
      <c r="P28" s="299"/>
      <c r="Q28" s="299"/>
      <c r="R28" s="299"/>
      <c r="S28" s="299"/>
      <c r="T28" s="299"/>
      <c r="U28" s="299"/>
      <c r="V28" s="299"/>
      <c r="W28" s="299"/>
      <c r="X28" s="299"/>
      <c r="Y28" s="299"/>
      <c r="Z28" s="299"/>
      <c r="AA28" s="299"/>
      <c r="AB28" s="299"/>
      <c r="AC28" s="299"/>
      <c r="AD28" s="299"/>
      <c r="AE28" s="299"/>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row>
    <row r="29" spans="1:56" ht="15">
      <c r="A29" s="295"/>
      <c r="B29" s="295"/>
      <c r="C29" s="295"/>
      <c r="D29" s="295"/>
      <c r="E29" s="295"/>
      <c r="F29" s="296"/>
      <c r="G29" s="297"/>
      <c r="H29" s="297"/>
      <c r="K29" s="299"/>
      <c r="L29" s="299"/>
      <c r="M29" s="299"/>
      <c r="N29" s="299"/>
      <c r="O29" s="299"/>
      <c r="P29" s="299"/>
      <c r="Q29" s="299"/>
      <c r="R29" s="299"/>
      <c r="S29" s="299"/>
      <c r="T29" s="299"/>
      <c r="U29" s="299"/>
      <c r="V29" s="299"/>
      <c r="W29" s="299"/>
      <c r="X29" s="299"/>
      <c r="Y29" s="299"/>
      <c r="Z29" s="299"/>
      <c r="AA29" s="299"/>
      <c r="AB29" s="299"/>
      <c r="AC29" s="299"/>
      <c r="AD29" s="299"/>
      <c r="AE29" s="299"/>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row>
    <row r="30" spans="1:56" ht="15">
      <c r="A30" s="295"/>
      <c r="B30" s="295"/>
      <c r="C30" s="295"/>
      <c r="D30" s="295"/>
      <c r="E30" s="295"/>
      <c r="F30" s="296"/>
      <c r="G30" s="297"/>
      <c r="H30" s="297"/>
      <c r="K30" s="299"/>
      <c r="L30" s="299"/>
      <c r="M30" s="299"/>
      <c r="N30" s="299"/>
      <c r="O30" s="299"/>
      <c r="P30" s="299"/>
      <c r="Q30" s="299"/>
      <c r="R30" s="299"/>
      <c r="S30" s="299"/>
      <c r="T30" s="299"/>
      <c r="U30" s="299"/>
      <c r="V30" s="299"/>
      <c r="W30" s="299"/>
      <c r="X30" s="299"/>
      <c r="Y30" s="299"/>
      <c r="Z30" s="299"/>
      <c r="AA30" s="299"/>
      <c r="AB30" s="299"/>
      <c r="AC30" s="299"/>
      <c r="AD30" s="299"/>
      <c r="AE30" s="299"/>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row>
    <row r="31" spans="1:56" ht="15">
      <c r="A31" s="295"/>
      <c r="B31" s="295"/>
      <c r="C31" s="295"/>
      <c r="D31" s="295"/>
      <c r="E31" s="295"/>
      <c r="F31" s="296"/>
      <c r="G31" s="297"/>
      <c r="H31" s="297"/>
      <c r="K31" s="299"/>
      <c r="L31" s="299"/>
      <c r="M31" s="299"/>
      <c r="N31" s="299"/>
      <c r="O31" s="299"/>
      <c r="P31" s="299"/>
      <c r="Q31" s="299"/>
      <c r="R31" s="299"/>
      <c r="S31" s="299"/>
      <c r="T31" s="299"/>
      <c r="U31" s="299"/>
      <c r="V31" s="299"/>
      <c r="W31" s="299"/>
      <c r="X31" s="299"/>
      <c r="Y31" s="299"/>
      <c r="Z31" s="299"/>
      <c r="AA31" s="299"/>
      <c r="AB31" s="299"/>
      <c r="AC31" s="299"/>
      <c r="AD31" s="299"/>
      <c r="AE31" s="299"/>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row>
    <row r="32" spans="1:56" ht="15">
      <c r="A32" s="295"/>
      <c r="B32" s="295"/>
      <c r="C32" s="295"/>
      <c r="D32" s="295"/>
      <c r="E32" s="295"/>
      <c r="F32" s="296"/>
      <c r="G32" s="297"/>
      <c r="H32" s="297"/>
      <c r="K32" s="299"/>
      <c r="L32" s="299"/>
      <c r="M32" s="299"/>
      <c r="N32" s="299"/>
      <c r="O32" s="299"/>
      <c r="P32" s="299"/>
      <c r="Q32" s="299"/>
      <c r="R32" s="299"/>
      <c r="S32" s="299"/>
      <c r="T32" s="299"/>
      <c r="U32" s="299"/>
      <c r="V32" s="299"/>
      <c r="W32" s="299"/>
      <c r="X32" s="299"/>
      <c r="Y32" s="299"/>
      <c r="Z32" s="299"/>
      <c r="AA32" s="299"/>
      <c r="AB32" s="299"/>
      <c r="AC32" s="299"/>
      <c r="AD32" s="299"/>
      <c r="AE32" s="299"/>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row>
    <row r="33" spans="1:56" ht="15">
      <c r="A33" s="295"/>
      <c r="B33" s="295"/>
      <c r="C33" s="295"/>
      <c r="D33" s="295"/>
      <c r="E33" s="295"/>
      <c r="F33" s="296"/>
      <c r="G33" s="297"/>
      <c r="H33" s="297"/>
      <c r="K33" s="299"/>
      <c r="L33" s="299"/>
      <c r="M33" s="299"/>
      <c r="N33" s="299"/>
      <c r="O33" s="299"/>
      <c r="P33" s="299"/>
      <c r="Q33" s="299"/>
      <c r="R33" s="299"/>
      <c r="S33" s="299"/>
      <c r="T33" s="299"/>
      <c r="U33" s="299"/>
      <c r="V33" s="299"/>
      <c r="W33" s="299"/>
      <c r="X33" s="299"/>
      <c r="Y33" s="299"/>
      <c r="Z33" s="299"/>
      <c r="AA33" s="299"/>
      <c r="AB33" s="299"/>
      <c r="AC33" s="299"/>
      <c r="AD33" s="299"/>
      <c r="AE33" s="299"/>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row>
    <row r="34" spans="1:56" ht="15">
      <c r="A34" s="295"/>
      <c r="B34" s="295"/>
      <c r="C34" s="295"/>
      <c r="D34" s="295"/>
      <c r="E34" s="295"/>
      <c r="F34" s="296"/>
      <c r="G34" s="297"/>
      <c r="H34" s="297"/>
      <c r="K34" s="299"/>
      <c r="L34" s="299"/>
      <c r="M34" s="299"/>
      <c r="N34" s="299"/>
      <c r="O34" s="299"/>
      <c r="P34" s="299"/>
      <c r="Q34" s="299"/>
      <c r="R34" s="299"/>
      <c r="S34" s="299"/>
      <c r="T34" s="299"/>
      <c r="U34" s="299"/>
      <c r="V34" s="299"/>
      <c r="W34" s="299"/>
      <c r="X34" s="299"/>
      <c r="Y34" s="299"/>
      <c r="Z34" s="299"/>
      <c r="AA34" s="299"/>
      <c r="AB34" s="299"/>
      <c r="AC34" s="299"/>
      <c r="AD34" s="299"/>
      <c r="AE34" s="299"/>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row>
    <row r="35" spans="1:56" ht="15">
      <c r="A35" s="295"/>
      <c r="B35" s="295"/>
      <c r="C35" s="295"/>
      <c r="D35" s="295"/>
      <c r="E35" s="295"/>
      <c r="F35" s="296"/>
      <c r="G35" s="297"/>
      <c r="H35" s="297"/>
      <c r="K35" s="299"/>
      <c r="L35" s="299"/>
      <c r="M35" s="299"/>
      <c r="N35" s="299"/>
      <c r="O35" s="299"/>
      <c r="P35" s="299"/>
      <c r="Q35" s="299"/>
      <c r="R35" s="299"/>
      <c r="S35" s="299"/>
      <c r="T35" s="299"/>
      <c r="U35" s="299"/>
      <c r="V35" s="299"/>
      <c r="W35" s="299"/>
      <c r="X35" s="299"/>
      <c r="Y35" s="299"/>
      <c r="Z35" s="299"/>
      <c r="AA35" s="299"/>
      <c r="AB35" s="299"/>
      <c r="AC35" s="299"/>
      <c r="AD35" s="299"/>
      <c r="AE35" s="299"/>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row>
    <row r="36" spans="1:56" ht="15">
      <c r="A36" s="295"/>
      <c r="B36" s="295"/>
      <c r="C36" s="295"/>
      <c r="D36" s="295"/>
      <c r="E36" s="295"/>
      <c r="F36" s="296"/>
      <c r="G36" s="297"/>
      <c r="H36" s="297"/>
      <c r="K36" s="299"/>
      <c r="L36" s="299"/>
      <c r="M36" s="299"/>
      <c r="N36" s="299"/>
      <c r="O36" s="299"/>
      <c r="P36" s="299"/>
      <c r="Q36" s="299"/>
      <c r="R36" s="299"/>
      <c r="S36" s="299"/>
      <c r="T36" s="299"/>
      <c r="U36" s="299"/>
      <c r="V36" s="299"/>
      <c r="W36" s="299"/>
      <c r="X36" s="299"/>
      <c r="Y36" s="299"/>
      <c r="Z36" s="299"/>
      <c r="AA36" s="299"/>
      <c r="AB36" s="299"/>
      <c r="AC36" s="299"/>
      <c r="AD36" s="299"/>
      <c r="AE36" s="299"/>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row>
    <row r="37" spans="1:56" ht="15">
      <c r="A37" s="295"/>
      <c r="B37" s="295"/>
      <c r="C37" s="295"/>
      <c r="D37" s="295"/>
      <c r="E37" s="295"/>
      <c r="F37" s="296"/>
      <c r="G37" s="297"/>
      <c r="H37" s="297"/>
      <c r="K37" s="299"/>
      <c r="L37" s="299"/>
      <c r="M37" s="299"/>
      <c r="N37" s="299"/>
      <c r="O37" s="299"/>
      <c r="P37" s="299"/>
      <c r="Q37" s="299"/>
      <c r="R37" s="299"/>
      <c r="S37" s="299"/>
      <c r="T37" s="299"/>
      <c r="U37" s="299"/>
      <c r="V37" s="299"/>
      <c r="W37" s="299"/>
      <c r="X37" s="299"/>
      <c r="Y37" s="299"/>
      <c r="Z37" s="299"/>
      <c r="AA37" s="299"/>
      <c r="AB37" s="299"/>
      <c r="AC37" s="299"/>
      <c r="AD37" s="299"/>
      <c r="AE37" s="299"/>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row>
    <row r="38" spans="1:56" ht="15">
      <c r="A38" s="295"/>
      <c r="B38" s="295"/>
      <c r="C38" s="295"/>
      <c r="D38" s="295"/>
      <c r="E38" s="295"/>
      <c r="F38" s="296"/>
      <c r="G38" s="297"/>
      <c r="H38" s="297"/>
      <c r="K38" s="299"/>
      <c r="L38" s="299"/>
      <c r="M38" s="299"/>
      <c r="N38" s="299"/>
      <c r="O38" s="299"/>
      <c r="P38" s="299"/>
      <c r="Q38" s="299"/>
      <c r="R38" s="299"/>
      <c r="S38" s="299"/>
      <c r="T38" s="299"/>
      <c r="U38" s="299"/>
      <c r="V38" s="299"/>
      <c r="W38" s="299"/>
      <c r="X38" s="299"/>
      <c r="Y38" s="299"/>
      <c r="Z38" s="299"/>
      <c r="AA38" s="299"/>
      <c r="AB38" s="299"/>
      <c r="AC38" s="299"/>
      <c r="AD38" s="299"/>
      <c r="AE38" s="299"/>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row>
    <row r="39" spans="1:56" ht="15">
      <c r="A39" s="295"/>
      <c r="B39" s="295"/>
      <c r="C39" s="295"/>
      <c r="D39" s="295"/>
      <c r="E39" s="295"/>
      <c r="F39" s="296"/>
      <c r="G39" s="297"/>
      <c r="H39" s="297"/>
      <c r="K39" s="299"/>
      <c r="L39" s="299"/>
      <c r="M39" s="299"/>
      <c r="N39" s="299"/>
      <c r="O39" s="299"/>
      <c r="P39" s="299"/>
      <c r="Q39" s="299"/>
      <c r="R39" s="299"/>
      <c r="S39" s="299"/>
      <c r="T39" s="299"/>
      <c r="U39" s="299"/>
      <c r="V39" s="299"/>
      <c r="W39" s="299"/>
      <c r="X39" s="299"/>
      <c r="Y39" s="299"/>
      <c r="Z39" s="299"/>
      <c r="AA39" s="299"/>
      <c r="AB39" s="299"/>
      <c r="AC39" s="299"/>
      <c r="AD39" s="299"/>
      <c r="AE39" s="299"/>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row>
    <row r="40" spans="1:56" ht="15">
      <c r="A40" s="295"/>
      <c r="B40" s="295"/>
      <c r="C40" s="295"/>
      <c r="D40" s="295"/>
      <c r="E40" s="295"/>
      <c r="F40" s="296"/>
      <c r="G40" s="297"/>
      <c r="H40" s="297"/>
      <c r="K40" s="299"/>
      <c r="L40" s="299"/>
      <c r="M40" s="299"/>
      <c r="N40" s="299"/>
      <c r="O40" s="299"/>
      <c r="P40" s="299"/>
      <c r="Q40" s="299"/>
      <c r="R40" s="299"/>
      <c r="S40" s="299"/>
      <c r="T40" s="299"/>
      <c r="U40" s="299"/>
      <c r="V40" s="299"/>
      <c r="W40" s="299"/>
      <c r="X40" s="299"/>
      <c r="Y40" s="299"/>
      <c r="Z40" s="299"/>
      <c r="AA40" s="299"/>
      <c r="AB40" s="299"/>
      <c r="AC40" s="299"/>
      <c r="AD40" s="299"/>
      <c r="AE40" s="299"/>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row>
    <row r="41" spans="1:56" ht="15">
      <c r="A41" s="295"/>
      <c r="B41" s="295"/>
      <c r="C41" s="295"/>
      <c r="D41" s="295"/>
      <c r="E41" s="295"/>
      <c r="F41" s="296"/>
      <c r="G41" s="297"/>
      <c r="H41" s="297"/>
      <c r="K41" s="299"/>
      <c r="L41" s="299"/>
      <c r="M41" s="299"/>
      <c r="N41" s="299"/>
      <c r="O41" s="299"/>
      <c r="P41" s="299"/>
      <c r="Q41" s="299"/>
      <c r="R41" s="299"/>
      <c r="S41" s="299"/>
      <c r="T41" s="299"/>
      <c r="U41" s="299"/>
      <c r="V41" s="299"/>
      <c r="W41" s="299"/>
      <c r="X41" s="299"/>
      <c r="Y41" s="299"/>
      <c r="Z41" s="299"/>
      <c r="AA41" s="299"/>
      <c r="AB41" s="299"/>
      <c r="AC41" s="299"/>
      <c r="AD41" s="299"/>
      <c r="AE41" s="299"/>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row>
    <row r="42" spans="1:56" ht="15">
      <c r="A42" s="295"/>
      <c r="B42" s="295"/>
      <c r="C42" s="295"/>
      <c r="D42" s="295"/>
      <c r="E42" s="295"/>
      <c r="F42" s="296"/>
      <c r="G42" s="297"/>
      <c r="H42" s="297"/>
      <c r="K42" s="299"/>
      <c r="L42" s="299"/>
      <c r="M42" s="299"/>
      <c r="N42" s="299"/>
      <c r="O42" s="299"/>
      <c r="P42" s="299"/>
      <c r="Q42" s="299"/>
      <c r="R42" s="299"/>
      <c r="S42" s="299"/>
      <c r="T42" s="299"/>
      <c r="U42" s="299"/>
      <c r="V42" s="299"/>
      <c r="W42" s="299"/>
      <c r="X42" s="299"/>
      <c r="Y42" s="299"/>
      <c r="Z42" s="299"/>
      <c r="AA42" s="299"/>
      <c r="AB42" s="299"/>
      <c r="AC42" s="299"/>
      <c r="AD42" s="299"/>
      <c r="AE42" s="299"/>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row>
    <row r="43" spans="1:56" ht="15">
      <c r="A43" s="295"/>
      <c r="B43" s="295"/>
      <c r="C43" s="295"/>
      <c r="D43" s="295"/>
      <c r="E43" s="295"/>
      <c r="F43" s="296"/>
      <c r="G43" s="297"/>
      <c r="H43" s="297"/>
      <c r="K43" s="299"/>
      <c r="L43" s="299"/>
      <c r="M43" s="299"/>
      <c r="N43" s="299"/>
      <c r="O43" s="299"/>
      <c r="P43" s="299"/>
      <c r="Q43" s="299"/>
      <c r="R43" s="299"/>
      <c r="S43" s="299"/>
      <c r="T43" s="299"/>
      <c r="U43" s="299"/>
      <c r="V43" s="299"/>
      <c r="W43" s="299"/>
      <c r="X43" s="299"/>
      <c r="Y43" s="299"/>
      <c r="Z43" s="299"/>
      <c r="AA43" s="299"/>
      <c r="AB43" s="299"/>
      <c r="AC43" s="299"/>
      <c r="AD43" s="299"/>
      <c r="AE43" s="299"/>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row>
    <row r="44" spans="1:56" ht="15">
      <c r="A44" s="295"/>
      <c r="B44" s="295"/>
      <c r="C44" s="295"/>
      <c r="D44" s="295"/>
      <c r="E44" s="295"/>
      <c r="F44" s="296"/>
      <c r="G44" s="297"/>
      <c r="H44" s="297"/>
      <c r="K44" s="299"/>
      <c r="L44" s="299"/>
      <c r="M44" s="299"/>
      <c r="N44" s="299"/>
      <c r="O44" s="299"/>
      <c r="P44" s="299"/>
      <c r="Q44" s="299"/>
      <c r="R44" s="299"/>
      <c r="S44" s="299"/>
      <c r="T44" s="299"/>
      <c r="U44" s="299"/>
      <c r="V44" s="299"/>
      <c r="W44" s="299"/>
      <c r="X44" s="299"/>
      <c r="Y44" s="299"/>
      <c r="Z44" s="299"/>
      <c r="AA44" s="299"/>
      <c r="AB44" s="299"/>
      <c r="AC44" s="299"/>
      <c r="AD44" s="299"/>
      <c r="AE44" s="299"/>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row>
    <row r="45" spans="1:56" ht="15">
      <c r="A45" s="295"/>
      <c r="B45" s="295"/>
      <c r="C45" s="295"/>
      <c r="D45" s="295"/>
      <c r="E45" s="295"/>
      <c r="F45" s="296"/>
      <c r="G45" s="297"/>
      <c r="H45" s="297"/>
      <c r="K45" s="299"/>
      <c r="L45" s="299"/>
      <c r="M45" s="299"/>
      <c r="N45" s="299"/>
      <c r="O45" s="299"/>
      <c r="P45" s="299"/>
      <c r="Q45" s="299"/>
      <c r="R45" s="299"/>
      <c r="S45" s="299"/>
      <c r="T45" s="299"/>
      <c r="U45" s="299"/>
      <c r="V45" s="299"/>
      <c r="W45" s="299"/>
      <c r="X45" s="299"/>
      <c r="Y45" s="299"/>
      <c r="Z45" s="299"/>
      <c r="AA45" s="299"/>
      <c r="AB45" s="299"/>
      <c r="AC45" s="299"/>
      <c r="AD45" s="299"/>
      <c r="AE45" s="299"/>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row>
    <row r="46" spans="1:56" ht="15">
      <c r="A46" s="295"/>
      <c r="B46" s="295"/>
      <c r="C46" s="295"/>
      <c r="D46" s="295"/>
      <c r="E46" s="295"/>
      <c r="F46" s="296"/>
      <c r="G46" s="297"/>
      <c r="H46" s="297"/>
      <c r="K46" s="299"/>
      <c r="L46" s="299"/>
      <c r="M46" s="299"/>
      <c r="N46" s="299"/>
      <c r="O46" s="299"/>
      <c r="P46" s="299"/>
      <c r="Q46" s="299"/>
      <c r="R46" s="299"/>
      <c r="S46" s="299"/>
      <c r="T46" s="299"/>
      <c r="U46" s="299"/>
      <c r="V46" s="299"/>
      <c r="W46" s="299"/>
      <c r="X46" s="299"/>
      <c r="Y46" s="299"/>
      <c r="Z46" s="299"/>
      <c r="AA46" s="299"/>
      <c r="AB46" s="299"/>
      <c r="AC46" s="299"/>
      <c r="AD46" s="299"/>
      <c r="AE46" s="299"/>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row>
    <row r="47" spans="1:56" ht="15">
      <c r="A47" s="295"/>
      <c r="B47" s="295"/>
      <c r="C47" s="295"/>
      <c r="D47" s="295"/>
      <c r="E47" s="295"/>
      <c r="F47" s="296"/>
      <c r="G47" s="297"/>
      <c r="H47" s="297"/>
      <c r="K47" s="299"/>
      <c r="L47" s="299"/>
      <c r="M47" s="299"/>
      <c r="N47" s="299"/>
      <c r="O47" s="299"/>
      <c r="P47" s="299"/>
      <c r="Q47" s="299"/>
      <c r="R47" s="299"/>
      <c r="S47" s="299"/>
      <c r="T47" s="299"/>
      <c r="U47" s="299"/>
      <c r="V47" s="299"/>
      <c r="W47" s="299"/>
      <c r="X47" s="299"/>
      <c r="Y47" s="299"/>
      <c r="Z47" s="299"/>
      <c r="AA47" s="299"/>
      <c r="AB47" s="299"/>
      <c r="AC47" s="299"/>
      <c r="AD47" s="299"/>
      <c r="AE47" s="299"/>
      <c r="AF47" s="300"/>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row>
    <row r="48" spans="1:56" ht="15">
      <c r="A48" s="295"/>
      <c r="B48" s="295"/>
      <c r="C48" s="295"/>
      <c r="D48" s="295"/>
      <c r="E48" s="295"/>
      <c r="F48" s="296"/>
      <c r="G48" s="297"/>
      <c r="H48" s="297"/>
      <c r="K48" s="299"/>
      <c r="L48" s="299"/>
      <c r="M48" s="299"/>
      <c r="N48" s="299"/>
      <c r="O48" s="299"/>
      <c r="P48" s="299"/>
      <c r="Q48" s="299"/>
      <c r="R48" s="299"/>
      <c r="S48" s="299"/>
      <c r="T48" s="299"/>
      <c r="U48" s="299"/>
      <c r="V48" s="299"/>
      <c r="W48" s="299"/>
      <c r="X48" s="299"/>
      <c r="Y48" s="299"/>
      <c r="Z48" s="299"/>
      <c r="AA48" s="299"/>
      <c r="AB48" s="299"/>
      <c r="AC48" s="299"/>
      <c r="AD48" s="299"/>
      <c r="AE48" s="299"/>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row>
    <row r="49" spans="1:56" ht="15">
      <c r="A49" s="295"/>
      <c r="B49" s="295"/>
      <c r="C49" s="295"/>
      <c r="D49" s="295"/>
      <c r="E49" s="295"/>
      <c r="F49" s="296"/>
      <c r="G49" s="297"/>
      <c r="H49" s="297"/>
      <c r="K49" s="299"/>
      <c r="L49" s="299"/>
      <c r="M49" s="299"/>
      <c r="N49" s="299"/>
      <c r="O49" s="299"/>
      <c r="P49" s="299"/>
      <c r="Q49" s="299"/>
      <c r="R49" s="299"/>
      <c r="S49" s="299"/>
      <c r="T49" s="299"/>
      <c r="U49" s="299"/>
      <c r="V49" s="299"/>
      <c r="W49" s="299"/>
      <c r="X49" s="299"/>
      <c r="Y49" s="299"/>
      <c r="Z49" s="299"/>
      <c r="AA49" s="299"/>
      <c r="AB49" s="299"/>
      <c r="AC49" s="299"/>
      <c r="AD49" s="299"/>
      <c r="AE49" s="299"/>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row>
    <row r="50" spans="1:56" ht="15">
      <c r="A50" s="295"/>
      <c r="B50" s="295"/>
      <c r="C50" s="295"/>
      <c r="D50" s="295"/>
      <c r="E50" s="295"/>
      <c r="F50" s="296"/>
      <c r="G50" s="297"/>
      <c r="H50" s="297"/>
      <c r="K50" s="299"/>
      <c r="L50" s="299"/>
      <c r="M50" s="299"/>
      <c r="N50" s="299"/>
      <c r="O50" s="299"/>
      <c r="P50" s="299"/>
      <c r="Q50" s="299"/>
      <c r="R50" s="299"/>
      <c r="S50" s="299"/>
      <c r="T50" s="299"/>
      <c r="U50" s="299"/>
      <c r="V50" s="299"/>
      <c r="W50" s="299"/>
      <c r="X50" s="299"/>
      <c r="Y50" s="299"/>
      <c r="Z50" s="299"/>
      <c r="AA50" s="299"/>
      <c r="AB50" s="299"/>
      <c r="AC50" s="299"/>
      <c r="AD50" s="299"/>
      <c r="AE50" s="299"/>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row>
    <row r="51" spans="1:56" ht="15">
      <c r="A51" s="295"/>
      <c r="B51" s="295"/>
      <c r="C51" s="295"/>
      <c r="D51" s="295"/>
      <c r="E51" s="295"/>
      <c r="F51" s="296"/>
      <c r="G51" s="297"/>
      <c r="H51" s="297"/>
      <c r="K51" s="299"/>
      <c r="L51" s="299"/>
      <c r="M51" s="299"/>
      <c r="N51" s="299"/>
      <c r="O51" s="299"/>
      <c r="P51" s="299"/>
      <c r="Q51" s="299"/>
      <c r="R51" s="299"/>
      <c r="S51" s="299"/>
      <c r="T51" s="299"/>
      <c r="U51" s="299"/>
      <c r="V51" s="299"/>
      <c r="W51" s="299"/>
      <c r="X51" s="299"/>
      <c r="Y51" s="299"/>
      <c r="Z51" s="299"/>
      <c r="AA51" s="299"/>
      <c r="AB51" s="299"/>
      <c r="AC51" s="299"/>
      <c r="AD51" s="299"/>
      <c r="AE51" s="299"/>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row>
    <row r="52" spans="1:56" ht="15">
      <c r="A52" s="295"/>
      <c r="B52" s="295"/>
      <c r="C52" s="295"/>
      <c r="D52" s="295"/>
      <c r="E52" s="295"/>
      <c r="F52" s="296"/>
      <c r="G52" s="297"/>
      <c r="H52" s="297"/>
      <c r="K52" s="299"/>
      <c r="L52" s="299"/>
      <c r="M52" s="299"/>
      <c r="N52" s="299"/>
      <c r="O52" s="299"/>
      <c r="P52" s="299"/>
      <c r="Q52" s="299"/>
      <c r="R52" s="299"/>
      <c r="S52" s="299"/>
      <c r="T52" s="299"/>
      <c r="U52" s="299"/>
      <c r="V52" s="299"/>
      <c r="W52" s="299"/>
      <c r="X52" s="299"/>
      <c r="Y52" s="299"/>
      <c r="Z52" s="299"/>
      <c r="AA52" s="299"/>
      <c r="AB52" s="299"/>
      <c r="AC52" s="299"/>
      <c r="AD52" s="299"/>
      <c r="AE52" s="299"/>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row>
    <row r="53" spans="1:56" ht="15">
      <c r="A53" s="295"/>
      <c r="B53" s="295"/>
      <c r="C53" s="295"/>
      <c r="D53" s="295"/>
      <c r="E53" s="295"/>
      <c r="F53" s="296"/>
      <c r="G53" s="297"/>
      <c r="H53" s="297"/>
      <c r="K53" s="299"/>
      <c r="L53" s="299"/>
      <c r="M53" s="299"/>
      <c r="N53" s="299"/>
      <c r="O53" s="299"/>
      <c r="P53" s="299"/>
      <c r="Q53" s="299"/>
      <c r="R53" s="299"/>
      <c r="S53" s="299"/>
      <c r="T53" s="299"/>
      <c r="U53" s="299"/>
      <c r="V53" s="299"/>
      <c r="W53" s="299"/>
      <c r="X53" s="299"/>
      <c r="Y53" s="299"/>
      <c r="Z53" s="299"/>
      <c r="AA53" s="299"/>
      <c r="AB53" s="299"/>
      <c r="AC53" s="299"/>
      <c r="AD53" s="299"/>
      <c r="AE53" s="299"/>
      <c r="AF53" s="300"/>
      <c r="AG53" s="300"/>
      <c r="AH53" s="300"/>
      <c r="AI53" s="300"/>
      <c r="AJ53" s="300"/>
      <c r="AK53" s="300"/>
      <c r="AL53" s="300"/>
      <c r="AM53" s="300"/>
      <c r="AN53" s="300"/>
      <c r="AO53" s="300"/>
      <c r="AP53" s="300"/>
      <c r="AQ53" s="300"/>
      <c r="AR53" s="300"/>
      <c r="AS53" s="300"/>
      <c r="AT53" s="300"/>
      <c r="AU53" s="300"/>
      <c r="AV53" s="300"/>
      <c r="AW53" s="300"/>
      <c r="AX53" s="300"/>
      <c r="AY53" s="300"/>
      <c r="AZ53" s="300"/>
      <c r="BA53" s="300"/>
      <c r="BB53" s="300"/>
      <c r="BC53" s="300"/>
      <c r="BD53" s="300"/>
    </row>
    <row r="54" spans="1:56" ht="15">
      <c r="A54" s="295"/>
      <c r="B54" s="295"/>
      <c r="C54" s="295"/>
      <c r="D54" s="295"/>
      <c r="E54" s="295"/>
      <c r="F54" s="296"/>
      <c r="G54" s="297"/>
      <c r="H54" s="297"/>
      <c r="K54" s="299"/>
      <c r="L54" s="299"/>
      <c r="M54" s="299"/>
      <c r="N54" s="299"/>
      <c r="O54" s="299"/>
      <c r="P54" s="299"/>
      <c r="Q54" s="299"/>
      <c r="R54" s="299"/>
      <c r="S54" s="299"/>
      <c r="T54" s="299"/>
      <c r="U54" s="299"/>
      <c r="V54" s="299"/>
      <c r="W54" s="299"/>
      <c r="X54" s="299"/>
      <c r="Y54" s="299"/>
      <c r="Z54" s="299"/>
      <c r="AA54" s="299"/>
      <c r="AB54" s="299"/>
      <c r="AC54" s="299"/>
      <c r="AD54" s="299"/>
      <c r="AE54" s="299"/>
      <c r="AF54" s="300"/>
      <c r="AG54" s="300"/>
      <c r="AH54" s="300"/>
      <c r="AI54" s="300"/>
      <c r="AJ54" s="300"/>
      <c r="AK54" s="300"/>
      <c r="AL54" s="300"/>
      <c r="AM54" s="300"/>
      <c r="AN54" s="300"/>
      <c r="AO54" s="300"/>
      <c r="AP54" s="300"/>
      <c r="AQ54" s="300"/>
      <c r="AR54" s="300"/>
      <c r="AS54" s="300"/>
      <c r="AT54" s="300"/>
      <c r="AU54" s="300"/>
      <c r="AV54" s="300"/>
      <c r="AW54" s="300"/>
      <c r="AX54" s="300"/>
      <c r="AY54" s="300"/>
      <c r="AZ54" s="300"/>
      <c r="BA54" s="300"/>
      <c r="BB54" s="300"/>
      <c r="BC54" s="300"/>
      <c r="BD54" s="30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87"/>
  <sheetViews>
    <sheetView tabSelected="1" workbookViewId="0">
      <selection activeCell="E17" sqref="E17"/>
    </sheetView>
  </sheetViews>
  <sheetFormatPr defaultRowHeight="12.75"/>
  <cols>
    <col min="1" max="1" width="35" style="7" customWidth="1"/>
    <col min="2" max="2" width="30.140625" style="7" customWidth="1"/>
    <col min="3" max="3" width="72.85546875" style="7" customWidth="1"/>
    <col min="4" max="4" width="16.7109375" style="7" bestFit="1"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306" t="s">
        <v>25</v>
      </c>
      <c r="C1" s="306"/>
      <c r="D1" s="306"/>
      <c r="E1" s="306"/>
      <c r="F1" s="306"/>
      <c r="G1" s="306"/>
      <c r="H1" s="306"/>
      <c r="I1" s="306"/>
      <c r="J1" s="306"/>
      <c r="K1" s="306"/>
      <c r="L1" s="306"/>
      <c r="M1" s="306"/>
      <c r="N1" s="306"/>
      <c r="O1" s="306"/>
      <c r="P1" s="306"/>
      <c r="Q1" s="306"/>
      <c r="R1" s="306"/>
      <c r="S1" s="306"/>
    </row>
    <row r="2" spans="1:68">
      <c r="A2" s="39" t="s">
        <v>138</v>
      </c>
      <c r="B2" s="306"/>
      <c r="C2" s="306"/>
      <c r="D2" s="306"/>
      <c r="E2" s="306"/>
      <c r="F2" s="306"/>
      <c r="G2" s="306"/>
      <c r="H2" s="306"/>
      <c r="I2" s="306"/>
      <c r="J2" s="306"/>
      <c r="K2" s="306"/>
      <c r="L2" s="306"/>
      <c r="M2" s="306"/>
      <c r="N2" s="306"/>
      <c r="O2" s="306"/>
      <c r="P2" s="306"/>
      <c r="Q2" s="306"/>
      <c r="R2" s="306"/>
      <c r="S2" s="306"/>
    </row>
    <row r="3" spans="1:68">
      <c r="B3" s="306"/>
      <c r="C3" s="306"/>
      <c r="D3" s="306"/>
      <c r="E3" s="306"/>
      <c r="F3" s="306"/>
      <c r="G3" s="306"/>
      <c r="H3" s="306"/>
      <c r="I3" s="306"/>
      <c r="J3" s="306"/>
      <c r="K3" s="306"/>
      <c r="L3" s="306"/>
      <c r="M3" s="306"/>
      <c r="N3" s="306"/>
      <c r="O3" s="306"/>
      <c r="P3" s="306"/>
      <c r="Q3" s="306"/>
      <c r="R3" s="306"/>
      <c r="S3" s="306"/>
    </row>
    <row r="4" spans="1:68">
      <c r="B4" s="306"/>
      <c r="C4" s="306"/>
      <c r="D4" s="306"/>
      <c r="E4" s="306"/>
      <c r="F4" s="306"/>
      <c r="G4" s="306"/>
      <c r="H4" s="306"/>
      <c r="I4" s="306"/>
      <c r="J4" s="306"/>
      <c r="K4" s="306"/>
      <c r="L4" s="306"/>
      <c r="M4" s="306"/>
      <c r="N4" s="306"/>
      <c r="O4" s="306"/>
      <c r="P4" s="306"/>
      <c r="Q4" s="306"/>
      <c r="R4" s="306"/>
      <c r="S4" s="306"/>
    </row>
    <row r="5" spans="1:68">
      <c r="B5" s="306"/>
      <c r="C5" s="306"/>
      <c r="D5" s="306"/>
      <c r="E5" s="306"/>
      <c r="F5" s="306"/>
      <c r="G5" s="306"/>
      <c r="H5" s="306"/>
      <c r="I5" s="306"/>
      <c r="J5" s="306"/>
      <c r="K5" s="306"/>
      <c r="L5" s="306"/>
      <c r="M5" s="306"/>
      <c r="N5" s="306"/>
      <c r="O5" s="306"/>
      <c r="P5" s="306"/>
      <c r="Q5" s="306"/>
      <c r="R5" s="306"/>
      <c r="S5" s="306"/>
    </row>
    <row r="6" spans="1:68">
      <c r="B6" s="306"/>
      <c r="C6" s="306"/>
      <c r="D6" s="306"/>
      <c r="E6" s="306"/>
      <c r="F6" s="306"/>
      <c r="G6" s="306"/>
      <c r="H6" s="306"/>
      <c r="I6" s="306"/>
      <c r="J6" s="306"/>
      <c r="K6" s="306"/>
      <c r="L6" s="306"/>
      <c r="M6" s="306"/>
      <c r="N6" s="306"/>
      <c r="O6" s="306"/>
      <c r="P6" s="306"/>
      <c r="Q6" s="306"/>
      <c r="R6" s="306"/>
      <c r="S6" s="306"/>
    </row>
    <row r="7" spans="1:68">
      <c r="A7" s="303"/>
      <c r="B7" s="303" t="s">
        <v>23</v>
      </c>
      <c r="C7" s="47" t="s">
        <v>26</v>
      </c>
      <c r="D7" s="47" t="s">
        <v>689</v>
      </c>
    </row>
    <row r="8" spans="1:68">
      <c r="A8" s="303" t="s">
        <v>686</v>
      </c>
      <c r="B8" s="303" t="s">
        <v>27</v>
      </c>
      <c r="C8" s="47" t="s">
        <v>675</v>
      </c>
      <c r="D8" s="47" t="s">
        <v>107</v>
      </c>
    </row>
    <row r="9" spans="1:68">
      <c r="A9" s="303" t="str">
        <f>INDEX([2]ACHIEV!$A$19:$B$100,MATCH(CONCATENATE($C$8," - ",$C$7),[2]ACHIEV!$B$19:$B$100,0),1)</f>
        <v>Irrigation</v>
      </c>
      <c r="B9" s="304" t="s">
        <v>28</v>
      </c>
      <c r="C9" s="47">
        <f>[2]FILES!$H$4</f>
        <v>2035</v>
      </c>
      <c r="D9" s="47" t="str">
        <f>[1]!switch_ForecastScenario</f>
        <v>Base</v>
      </c>
    </row>
    <row r="10" spans="1:68">
      <c r="A10" s="303"/>
      <c r="B10" s="303" t="s">
        <v>688</v>
      </c>
      <c r="C10" s="305">
        <f>MIN(SUM(E98:X98),Y98)</f>
        <v>23.952444336868812</v>
      </c>
      <c r="D10" s="4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9" t="str">
        <f>CONCATENATE("# OF EXISTING HOMES FOR MEASURE -",$C$8)</f>
        <v># OF EXISTING HOMES FOR MEASURE -Irrigation Pressure</v>
      </c>
      <c r="C11" s="7" t="s">
        <v>140</v>
      </c>
      <c r="E11" s="51">
        <v>2016</v>
      </c>
      <c r="F11" s="52">
        <v>2017</v>
      </c>
      <c r="G11" s="52">
        <v>2018</v>
      </c>
      <c r="H11" s="52">
        <v>2019</v>
      </c>
      <c r="I11" s="52">
        <v>2020</v>
      </c>
      <c r="J11" s="52">
        <v>2021</v>
      </c>
      <c r="K11" s="52">
        <v>2022</v>
      </c>
      <c r="L11" s="52">
        <v>2023</v>
      </c>
      <c r="M11" s="52">
        <v>2024</v>
      </c>
      <c r="N11" s="52">
        <v>2025</v>
      </c>
      <c r="O11" s="52">
        <v>2026</v>
      </c>
      <c r="P11" s="52">
        <v>2027</v>
      </c>
      <c r="Q11" s="52">
        <v>2028</v>
      </c>
      <c r="R11" s="52">
        <v>2029</v>
      </c>
      <c r="S11" s="52">
        <v>2030</v>
      </c>
      <c r="T11" s="52">
        <v>2031</v>
      </c>
      <c r="U11" s="52">
        <v>2032</v>
      </c>
      <c r="V11" s="52">
        <v>2033</v>
      </c>
      <c r="W11" s="52">
        <v>2034</v>
      </c>
      <c r="X11" s="52">
        <v>2035</v>
      </c>
      <c r="Y11" s="53"/>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4" t="str">
        <f>CONCATENATE("ACRES_",E11)</f>
        <v>ACRES_2016</v>
      </c>
      <c r="F12" s="54" t="str">
        <f t="shared" ref="F12:X12" si="0">CONCATENATE("ACRES_",F11)</f>
        <v>ACRES_2017</v>
      </c>
      <c r="G12" s="54" t="str">
        <f t="shared" si="0"/>
        <v>ACRES_2018</v>
      </c>
      <c r="H12" s="54" t="str">
        <f t="shared" si="0"/>
        <v>ACRES_2019</v>
      </c>
      <c r="I12" s="54" t="str">
        <f t="shared" si="0"/>
        <v>ACRES_2020</v>
      </c>
      <c r="J12" s="54" t="str">
        <f t="shared" si="0"/>
        <v>ACRES_2021</v>
      </c>
      <c r="K12" s="54" t="str">
        <f t="shared" si="0"/>
        <v>ACRES_2022</v>
      </c>
      <c r="L12" s="54" t="str">
        <f t="shared" si="0"/>
        <v>ACRES_2023</v>
      </c>
      <c r="M12" s="54" t="str">
        <f t="shared" si="0"/>
        <v>ACRES_2024</v>
      </c>
      <c r="N12" s="54" t="str">
        <f t="shared" si="0"/>
        <v>ACRES_2025</v>
      </c>
      <c r="O12" s="54" t="str">
        <f t="shared" si="0"/>
        <v>ACRES_2026</v>
      </c>
      <c r="P12" s="54" t="str">
        <f t="shared" si="0"/>
        <v>ACRES_2027</v>
      </c>
      <c r="Q12" s="54" t="str">
        <f t="shared" si="0"/>
        <v>ACRES_2028</v>
      </c>
      <c r="R12" s="54" t="str">
        <f t="shared" si="0"/>
        <v>ACRES_2029</v>
      </c>
      <c r="S12" s="54" t="str">
        <f t="shared" si="0"/>
        <v>ACRES_2030</v>
      </c>
      <c r="T12" s="54" t="str">
        <f t="shared" si="0"/>
        <v>ACRES_2031</v>
      </c>
      <c r="U12" s="54" t="str">
        <f t="shared" si="0"/>
        <v>ACRES_2032</v>
      </c>
      <c r="V12" s="54" t="str">
        <f t="shared" si="0"/>
        <v>ACRES_2033</v>
      </c>
      <c r="W12" s="54" t="str">
        <f t="shared" si="0"/>
        <v>ACRES_2034</v>
      </c>
      <c r="X12" s="54" t="str">
        <f t="shared" si="0"/>
        <v>ACRES_2035</v>
      </c>
      <c r="Y12" s="56"/>
      <c r="AA12" s="38"/>
    </row>
    <row r="13" spans="1:68">
      <c r="B13" s="7" t="str">
        <f t="shared" ref="B13:B28" si="1">C13&amp;D13</f>
        <v>CenterPivot High PIdaho</v>
      </c>
      <c r="C13" s="7" t="s">
        <v>144</v>
      </c>
      <c r="D13" s="7" t="s">
        <v>134</v>
      </c>
      <c r="E13" s="32">
        <f>INDEX([2]SATS!$C$11:$F$21,MATCH($C13,[2]SATS!$B$11:$B$22,0),MATCH($D13,[2]SATS!$C$10:$F$10,0))</f>
        <v>230707</v>
      </c>
      <c r="F13" s="32">
        <f>E13*(1+INDEX([1]!tbl_Forecast,MATCH($D$8&amp;$D13&amp;$D$7,[1]!rng_ForecastRowLookup,0),MATCH(F$11,[1]!rng_ForecastColumnLookup,0)))</f>
        <v>230735.84783447464</v>
      </c>
      <c r="G13" s="32">
        <f>F13*(1+INDEX([1]!tbl_Forecast,MATCH($D$8&amp;$D13&amp;$D$7,[1]!rng_ForecastRowLookup,0),MATCH(G$11,[1]!rng_ForecastColumnLookup,0)))</f>
        <v>230775.94021739182</v>
      </c>
      <c r="H13" s="32">
        <f>G13*(1+INDEX([1]!tbl_Forecast,MATCH($D$8&amp;$D13&amp;$D$7,[1]!rng_ForecastRowLookup,0),MATCH(H$11,[1]!rng_ForecastColumnLookup,0)))</f>
        <v>230917.20031149001</v>
      </c>
      <c r="I13" s="32">
        <f>H13*(1+INDEX([1]!tbl_Forecast,MATCH($D$8&amp;$D13&amp;$D$7,[1]!rng_ForecastRowLookup,0),MATCH(I$11,[1]!rng_ForecastColumnLookup,0)))</f>
        <v>231120.70183823307</v>
      </c>
      <c r="J13" s="32">
        <f>I13*(1+INDEX([1]!tbl_Forecast,MATCH($D$8&amp;$D13&amp;$D$7,[1]!rng_ForecastRowLookup,0),MATCH(J$11,[1]!rng_ForecastColumnLookup,0)))</f>
        <v>231379.60260531626</v>
      </c>
      <c r="K13" s="32">
        <f>J13*(1+INDEX([1]!tbl_Forecast,MATCH($D$8&amp;$D13&amp;$D$7,[1]!rng_ForecastRowLookup,0),MATCH(K$11,[1]!rng_ForecastColumnLookup,0)))</f>
        <v>231673.86811490965</v>
      </c>
      <c r="L13" s="32">
        <f>K13*(1+INDEX([1]!tbl_Forecast,MATCH($D$8&amp;$D13&amp;$D$7,[1]!rng_ForecastRowLookup,0),MATCH(L$11,[1]!rng_ForecastColumnLookup,0)))</f>
        <v>232007.58603978564</v>
      </c>
      <c r="M13" s="32">
        <f>L13*(1+INDEX([1]!tbl_Forecast,MATCH($D$8&amp;$D13&amp;$D$7,[1]!rng_ForecastRowLookup,0),MATCH(M$11,[1]!rng_ForecastColumnLookup,0)))</f>
        <v>232375.88407830321</v>
      </c>
      <c r="N13" s="32">
        <f>M13*(1+INDEX([1]!tbl_Forecast,MATCH($D$8&amp;$D13&amp;$D$7,[1]!rng_ForecastRowLookup,0),MATCH(N$11,[1]!rng_ForecastColumnLookup,0)))</f>
        <v>232775.6783390464</v>
      </c>
      <c r="O13" s="32">
        <f>N13*(1+INDEX([1]!tbl_Forecast,MATCH($D$8&amp;$D13&amp;$D$7,[1]!rng_ForecastRowLookup,0),MATCH(O$11,[1]!rng_ForecastColumnLookup,0)))</f>
        <v>233201.40294198846</v>
      </c>
      <c r="P13" s="32">
        <f>O13*(1+INDEX([1]!tbl_Forecast,MATCH($D$8&amp;$D13&amp;$D$7,[1]!rng_ForecastRowLookup,0),MATCH(P$11,[1]!rng_ForecastColumnLookup,0)))</f>
        <v>233653.28988736059</v>
      </c>
      <c r="Q13" s="32">
        <f>P13*(1+INDEX([1]!tbl_Forecast,MATCH($D$8&amp;$D13&amp;$D$7,[1]!rng_ForecastRowLookup,0),MATCH(Q$11,[1]!rng_ForecastColumnLookup,0)))</f>
        <v>234127.98269246519</v>
      </c>
      <c r="R13" s="32">
        <f>Q13*(1+INDEX([1]!tbl_Forecast,MATCH($D$8&amp;$D13&amp;$D$7,[1]!rng_ForecastRowLookup,0),MATCH(R$11,[1]!rng_ForecastColumnLookup,0)))</f>
        <v>234626.22565426628</v>
      </c>
      <c r="S13" s="32">
        <f>R13*(1+INDEX([1]!tbl_Forecast,MATCH($D$8&amp;$D13&amp;$D$7,[1]!rng_ForecastRowLookup,0),MATCH(S$11,[1]!rng_ForecastColumnLookup,0)))</f>
        <v>235145.3730795634</v>
      </c>
      <c r="T13" s="32">
        <f>S13*(1+INDEX([1]!tbl_Forecast,MATCH($D$8&amp;$D13&amp;$D$7,[1]!rng_ForecastRowLookup,0),MATCH(T$11,[1]!rng_ForecastColumnLookup,0)))</f>
        <v>235676.2896034655</v>
      </c>
      <c r="U13" s="32">
        <f>T13*(1+INDEX([1]!tbl_Forecast,MATCH($D$8&amp;$D13&amp;$D$7,[1]!rng_ForecastRowLookup,0),MATCH(U$11,[1]!rng_ForecastColumnLookup,0)))</f>
        <v>236229.29318007303</v>
      </c>
      <c r="V13" s="32">
        <f>U13*(1+INDEX([1]!tbl_Forecast,MATCH($D$8&amp;$D13&amp;$D$7,[1]!rng_ForecastRowLookup,0),MATCH(V$11,[1]!rng_ForecastColumnLookup,0)))</f>
        <v>236799.66101502485</v>
      </c>
      <c r="W13" s="32">
        <f>V13*(1+INDEX([1]!tbl_Forecast,MATCH($D$8&amp;$D13&amp;$D$7,[1]!rng_ForecastRowLookup,0),MATCH(W$11,[1]!rng_ForecastColumnLookup,0)))</f>
        <v>237388.06824612306</v>
      </c>
      <c r="X13" s="32">
        <f>W13*(1+INDEX([1]!tbl_Forecast,MATCH($D$8&amp;$D13&amp;$D$7,[1]!rng_ForecastRowLookup,0),MATCH(X$11,[1]!rng_ForecastColumnLookup,0)))</f>
        <v>237989.70731999655</v>
      </c>
      <c r="Y13" s="302"/>
      <c r="AA13" s="41"/>
    </row>
    <row r="14" spans="1:68">
      <c r="B14" s="7" t="str">
        <f t="shared" si="1"/>
        <v>CenterPivot Med PIdaho</v>
      </c>
      <c r="C14" s="7" t="s">
        <v>145</v>
      </c>
      <c r="D14" s="7" t="s">
        <v>134</v>
      </c>
      <c r="E14" s="32">
        <f>INDEX([2]SATS!$C$11:$F$21,MATCH($C14,[2]SATS!$B$11:$B$22,0),MATCH($D14,[2]SATS!$C$10:$F$10,0))</f>
        <v>1285602</v>
      </c>
      <c r="F14" s="32">
        <f>E14*(1+INDEX([1]!tbl_Forecast,MATCH($D$8&amp;$D14&amp;$D$7,[1]!rng_ForecastRowLookup,0),MATCH(F$11,[1]!rng_ForecastColumnLookup,0)))</f>
        <v>1285762.7529623993</v>
      </c>
      <c r="G14" s="32">
        <f>F14*(1+INDEX([1]!tbl_Forecast,MATCH($D$8&amp;$D14&amp;$D$7,[1]!rng_ForecastRowLookup,0),MATCH(G$11,[1]!rng_ForecastColumnLookup,0)))</f>
        <v>1285986.1655492003</v>
      </c>
      <c r="H14" s="32">
        <f>G14*(1+INDEX([1]!tbl_Forecast,MATCH($D$8&amp;$D14&amp;$D$7,[1]!rng_ForecastRowLookup,0),MATCH(H$11,[1]!rng_ForecastColumnLookup,0)))</f>
        <v>1286773.3296122449</v>
      </c>
      <c r="I14" s="32">
        <f>H14*(1+INDEX([1]!tbl_Forecast,MATCH($D$8&amp;$D14&amp;$D$7,[1]!rng_ForecastRowLookup,0),MATCH(I$11,[1]!rng_ForecastColumnLookup,0)))</f>
        <v>1287907.3306169128</v>
      </c>
      <c r="J14" s="32">
        <f>I14*(1+INDEX([1]!tbl_Forecast,MATCH($D$8&amp;$D14&amp;$D$7,[1]!rng_ForecastRowLookup,0),MATCH(J$11,[1]!rng_ForecastColumnLookup,0)))</f>
        <v>1289350.0408249414</v>
      </c>
      <c r="K14" s="32">
        <f>J14*(1+INDEX([1]!tbl_Forecast,MATCH($D$8&amp;$D14&amp;$D$7,[1]!rng_ForecastRowLookup,0),MATCH(K$11,[1]!rng_ForecastColumnLookup,0)))</f>
        <v>1290989.8191050293</v>
      </c>
      <c r="L14" s="32">
        <f>K14*(1+INDEX([1]!tbl_Forecast,MATCH($D$8&amp;$D14&amp;$D$7,[1]!rng_ForecastRowLookup,0),MATCH(L$11,[1]!rng_ForecastColumnLookup,0)))</f>
        <v>1292849.4437876632</v>
      </c>
      <c r="M14" s="32">
        <f>L14*(1+INDEX([1]!tbl_Forecast,MATCH($D$8&amp;$D14&amp;$D$7,[1]!rng_ForecastRowLookup,0),MATCH(M$11,[1]!rng_ForecastColumnLookup,0)))</f>
        <v>1294901.7642413741</v>
      </c>
      <c r="N14" s="32">
        <f>M14*(1+INDEX([1]!tbl_Forecast,MATCH($D$8&amp;$D14&amp;$D$7,[1]!rng_ForecastRowLookup,0),MATCH(N$11,[1]!rng_ForecastColumnLookup,0)))</f>
        <v>1297129.5956517777</v>
      </c>
      <c r="O14" s="32">
        <f>N14*(1+INDEX([1]!tbl_Forecast,MATCH($D$8&amp;$D14&amp;$D$7,[1]!rng_ForecastRowLookup,0),MATCH(O$11,[1]!rng_ForecastColumnLookup,0)))</f>
        <v>1299501.9224602035</v>
      </c>
      <c r="P14" s="32">
        <f>O14*(1+INDEX([1]!tbl_Forecast,MATCH($D$8&amp;$D14&amp;$D$7,[1]!rng_ForecastRowLookup,0),MATCH(P$11,[1]!rng_ForecastColumnLookup,0)))</f>
        <v>1302020.0374751112</v>
      </c>
      <c r="Q14" s="32">
        <f>P14*(1+INDEX([1]!tbl_Forecast,MATCH($D$8&amp;$D14&amp;$D$7,[1]!rng_ForecastRowLookup,0),MATCH(Q$11,[1]!rng_ForecastColumnLookup,0)))</f>
        <v>1304665.2368822731</v>
      </c>
      <c r="R14" s="32">
        <f>Q14*(1+INDEX([1]!tbl_Forecast,MATCH($D$8&amp;$D14&amp;$D$7,[1]!rng_ForecastRowLookup,0),MATCH(R$11,[1]!rng_ForecastColumnLookup,0)))</f>
        <v>1307441.6682353634</v>
      </c>
      <c r="S14" s="32">
        <f>R14*(1+INDEX([1]!tbl_Forecast,MATCH($D$8&amp;$D14&amp;$D$7,[1]!rng_ForecastRowLookup,0),MATCH(S$11,[1]!rng_ForecastColumnLookup,0)))</f>
        <v>1310334.5885553227</v>
      </c>
      <c r="T14" s="32">
        <f>S14*(1+INDEX([1]!tbl_Forecast,MATCH($D$8&amp;$D14&amp;$D$7,[1]!rng_ForecastRowLookup,0),MATCH(T$11,[1]!rng_ForecastColumnLookup,0)))</f>
        <v>1313293.0915264573</v>
      </c>
      <c r="U14" s="32">
        <f>T14*(1+INDEX([1]!tbl_Forecast,MATCH($D$8&amp;$D14&amp;$D$7,[1]!rng_ForecastRowLookup,0),MATCH(U$11,[1]!rng_ForecastColumnLookup,0)))</f>
        <v>1316374.6733774364</v>
      </c>
      <c r="V14" s="32">
        <f>U14*(1+INDEX([1]!tbl_Forecast,MATCH($D$8&amp;$D14&amp;$D$7,[1]!rng_ForecastRowLookup,0),MATCH(V$11,[1]!rng_ForecastColumnLookup,0)))</f>
        <v>1319553.0165978402</v>
      </c>
      <c r="W14" s="32">
        <f>V14*(1+INDEX([1]!tbl_Forecast,MATCH($D$8&amp;$D14&amp;$D$7,[1]!rng_ForecastRowLookup,0),MATCH(W$11,[1]!rng_ForecastColumnLookup,0)))</f>
        <v>1322831.8833557379</v>
      </c>
      <c r="X14" s="32">
        <f>W14*(1+INDEX([1]!tbl_Forecast,MATCH($D$8&amp;$D14&amp;$D$7,[1]!rng_ForecastRowLookup,0),MATCH(X$11,[1]!rng_ForecastColumnLookup,0)))</f>
        <v>1326184.4838258142</v>
      </c>
      <c r="Y14" s="302"/>
      <c r="AA14" s="41"/>
    </row>
    <row r="15" spans="1:68">
      <c r="B15" s="7" t="str">
        <f t="shared" si="1"/>
        <v>Alfalfa Wheel LineIdaho</v>
      </c>
      <c r="C15" s="7" t="s">
        <v>142</v>
      </c>
      <c r="D15" s="7" t="s">
        <v>134</v>
      </c>
      <c r="E15" s="32">
        <f>INDEX([2]SATS!$C$11:$F$21,MATCH($C15,[2]SATS!$B$11:$B$22,0),MATCH($D15,[2]SATS!$C$10:$F$10,0))</f>
        <v>547765.83639704715</v>
      </c>
      <c r="F15" s="32">
        <f>E15*(1+INDEX([1]!tbl_Forecast,MATCH($D$8&amp;$D15&amp;$D$7,[1]!rng_ForecastRowLookup,0),MATCH(F$11,[1]!rng_ForecastColumnLookup,0)))</f>
        <v>547834.32958615385</v>
      </c>
      <c r="G15" s="32">
        <f>F15*(1+INDEX([1]!tbl_Forecast,MATCH($D$8&amp;$D15&amp;$D$7,[1]!rng_ForecastRowLookup,0),MATCH(G$11,[1]!rng_ForecastColumnLookup,0)))</f>
        <v>547929.52061920345</v>
      </c>
      <c r="H15" s="32">
        <f>G15*(1+INDEX([1]!tbl_Forecast,MATCH($D$8&amp;$D15&amp;$D$7,[1]!rng_ForecastRowLookup,0),MATCH(H$11,[1]!rng_ForecastColumnLookup,0)))</f>
        <v>548264.91336235043</v>
      </c>
      <c r="I15" s="32">
        <f>H15*(1+INDEX([1]!tbl_Forecast,MATCH($D$8&amp;$D15&amp;$D$7,[1]!rng_ForecastRowLookup,0),MATCH(I$11,[1]!rng_ForecastColumnLookup,0)))</f>
        <v>548748.08545511088</v>
      </c>
      <c r="J15" s="32">
        <f>I15*(1+INDEX([1]!tbl_Forecast,MATCH($D$8&amp;$D15&amp;$D$7,[1]!rng_ForecastRowLookup,0),MATCH(J$11,[1]!rng_ForecastColumnLookup,0)))</f>
        <v>549362.79153349239</v>
      </c>
      <c r="K15" s="32">
        <f>J15*(1+INDEX([1]!tbl_Forecast,MATCH($D$8&amp;$D15&amp;$D$7,[1]!rng_ForecastRowLookup,0),MATCH(K$11,[1]!rng_ForecastColumnLookup,0)))</f>
        <v>550061.46384506172</v>
      </c>
      <c r="L15" s="32">
        <f>K15*(1+INDEX([1]!tbl_Forecast,MATCH($D$8&amp;$D15&amp;$D$7,[1]!rng_ForecastRowLookup,0),MATCH(L$11,[1]!rng_ForecastColumnLookup,0)))</f>
        <v>550853.80771950155</v>
      </c>
      <c r="M15" s="32">
        <f>L15*(1+INDEX([1]!tbl_Forecast,MATCH($D$8&amp;$D15&amp;$D$7,[1]!rng_ForecastRowLookup,0),MATCH(M$11,[1]!rng_ForecastColumnLookup,0)))</f>
        <v>551728.25488890673</v>
      </c>
      <c r="N15" s="32">
        <f>M15*(1+INDEX([1]!tbl_Forecast,MATCH($D$8&amp;$D15&amp;$D$7,[1]!rng_ForecastRowLookup,0),MATCH(N$11,[1]!rng_ForecastColumnLookup,0)))</f>
        <v>552677.48329386511</v>
      </c>
      <c r="O15" s="32">
        <f>N15*(1+INDEX([1]!tbl_Forecast,MATCH($D$8&amp;$D15&amp;$D$7,[1]!rng_ForecastRowLookup,0),MATCH(O$11,[1]!rng_ForecastColumnLookup,0)))</f>
        <v>553688.27790870273</v>
      </c>
      <c r="P15" s="32">
        <f>O15*(1+INDEX([1]!tbl_Forecast,MATCH($D$8&amp;$D15&amp;$D$7,[1]!rng_ForecastRowLookup,0),MATCH(P$11,[1]!rng_ForecastColumnLookup,0)))</f>
        <v>554761.18956976489</v>
      </c>
      <c r="Q15" s="32">
        <f>P15*(1+INDEX([1]!tbl_Forecast,MATCH($D$8&amp;$D15&amp;$D$7,[1]!rng_ForecastRowLookup,0),MATCH(Q$11,[1]!rng_ForecastColumnLookup,0)))</f>
        <v>555888.2490062787</v>
      </c>
      <c r="R15" s="32">
        <f>Q15*(1+INDEX([1]!tbl_Forecast,MATCH($D$8&amp;$D15&amp;$D$7,[1]!rng_ForecastRowLookup,0),MATCH(R$11,[1]!rng_ForecastColumnLookup,0)))</f>
        <v>557071.22339673899</v>
      </c>
      <c r="S15" s="32">
        <f>R15*(1+INDEX([1]!tbl_Forecast,MATCH($D$8&amp;$D15&amp;$D$7,[1]!rng_ForecastRowLookup,0),MATCH(S$11,[1]!rng_ForecastColumnLookup,0)))</f>
        <v>558303.83109234972</v>
      </c>
      <c r="T15" s="32">
        <f>S15*(1+INDEX([1]!tbl_Forecast,MATCH($D$8&amp;$D15&amp;$D$7,[1]!rng_ForecastRowLookup,0),MATCH(T$11,[1]!rng_ForecastColumnLookup,0)))</f>
        <v>559564.3820672757</v>
      </c>
      <c r="U15" s="32">
        <f>T15*(1+INDEX([1]!tbl_Forecast,MATCH($D$8&amp;$D15&amp;$D$7,[1]!rng_ForecastRowLookup,0),MATCH(U$11,[1]!rng_ForecastColumnLookup,0)))</f>
        <v>560877.37415971758</v>
      </c>
      <c r="V15" s="32">
        <f>U15*(1+INDEX([1]!tbl_Forecast,MATCH($D$8&amp;$D15&amp;$D$7,[1]!rng_ForecastRowLookup,0),MATCH(V$11,[1]!rng_ForecastColumnLookup,0)))</f>
        <v>562231.59407574253</v>
      </c>
      <c r="W15" s="32">
        <f>V15*(1+INDEX([1]!tbl_Forecast,MATCH($D$8&amp;$D15&amp;$D$7,[1]!rng_ForecastRowLookup,0),MATCH(W$11,[1]!rng_ForecastColumnLookup,0)))</f>
        <v>563628.64478978491</v>
      </c>
      <c r="X15" s="32">
        <f>W15*(1+INDEX([1]!tbl_Forecast,MATCH($D$8&amp;$D15&amp;$D$7,[1]!rng_ForecastRowLookup,0),MATCH(X$11,[1]!rng_ForecastColumnLookup,0)))</f>
        <v>565057.11176525359</v>
      </c>
      <c r="Y15" s="302"/>
      <c r="AA15" s="41"/>
    </row>
    <row r="16" spans="1:68">
      <c r="B16" s="7" t="str">
        <f t="shared" si="1"/>
        <v>Alfalfa Hand LineIdaho</v>
      </c>
      <c r="C16" s="7" t="s">
        <v>143</v>
      </c>
      <c r="D16" s="7" t="s">
        <v>134</v>
      </c>
      <c r="E16" s="32">
        <f>INDEX([2]SATS!$C$11:$F$21,MATCH($C16,[2]SATS!$B$11:$B$22,0),MATCH($D16,[2]SATS!$C$10:$F$10,0))</f>
        <v>185549.16360295285</v>
      </c>
      <c r="F16" s="32">
        <f>E16*(1+INDEX([1]!tbl_Forecast,MATCH($D$8&amp;$D16&amp;$D$7,[1]!rng_ForecastRowLookup,0),MATCH(F$11,[1]!rng_ForecastColumnLookup,0)))</f>
        <v>185572.36485631109</v>
      </c>
      <c r="G16" s="32">
        <f>F16*(1+INDEX([1]!tbl_Forecast,MATCH($D$8&amp;$D16&amp;$D$7,[1]!rng_ForecastRowLookup,0),MATCH(G$11,[1]!rng_ForecastColumnLookup,0)))</f>
        <v>185604.60968684129</v>
      </c>
      <c r="H16" s="32">
        <f>G16*(1+INDEX([1]!tbl_Forecast,MATCH($D$8&amp;$D16&amp;$D$7,[1]!rng_ForecastRowLookup,0),MATCH(H$11,[1]!rng_ForecastColumnLookup,0)))</f>
        <v>185718.21999043151</v>
      </c>
      <c r="I16" s="32">
        <f>H16*(1+INDEX([1]!tbl_Forecast,MATCH($D$8&amp;$D16&amp;$D$7,[1]!rng_ForecastRowLookup,0),MATCH(I$11,[1]!rng_ForecastColumnLookup,0)))</f>
        <v>185881.88879146095</v>
      </c>
      <c r="J16" s="32">
        <f>I16*(1+INDEX([1]!tbl_Forecast,MATCH($D$8&amp;$D16&amp;$D$7,[1]!rng_ForecastRowLookup,0),MATCH(J$11,[1]!rng_ForecastColumnLookup,0)))</f>
        <v>186090.11316605058</v>
      </c>
      <c r="K16" s="32">
        <f>J16*(1+INDEX([1]!tbl_Forecast,MATCH($D$8&amp;$D16&amp;$D$7,[1]!rng_ForecastRowLookup,0),MATCH(K$11,[1]!rng_ForecastColumnLookup,0)))</f>
        <v>186326.78010369118</v>
      </c>
      <c r="L16" s="32">
        <f>K16*(1+INDEX([1]!tbl_Forecast,MATCH($D$8&amp;$D16&amp;$D$7,[1]!rng_ForecastRowLookup,0),MATCH(L$11,[1]!rng_ForecastColumnLookup,0)))</f>
        <v>186595.17716940682</v>
      </c>
      <c r="M16" s="32">
        <f>L16*(1+INDEX([1]!tbl_Forecast,MATCH($D$8&amp;$D16&amp;$D$7,[1]!rng_ForecastRowLookup,0),MATCH(M$11,[1]!rng_ForecastColumnLookup,0)))</f>
        <v>186891.38575000275</v>
      </c>
      <c r="N16" s="32">
        <f>M16*(1+INDEX([1]!tbl_Forecast,MATCH($D$8&amp;$D16&amp;$D$7,[1]!rng_ForecastRowLookup,0),MATCH(N$11,[1]!rng_ForecastColumnLookup,0)))</f>
        <v>187212.92558491961</v>
      </c>
      <c r="O16" s="32">
        <f>N16*(1+INDEX([1]!tbl_Forecast,MATCH($D$8&amp;$D16&amp;$D$7,[1]!rng_ForecastRowLookup,0),MATCH(O$11,[1]!rng_ForecastColumnLookup,0)))</f>
        <v>187555.32024135004</v>
      </c>
      <c r="P16" s="32">
        <f>O16*(1+INDEX([1]!tbl_Forecast,MATCH($D$8&amp;$D16&amp;$D$7,[1]!rng_ForecastRowLookup,0),MATCH(P$11,[1]!rng_ForecastColumnLookup,0)))</f>
        <v>187918.75630855601</v>
      </c>
      <c r="Q16" s="32">
        <f>P16*(1+INDEX([1]!tbl_Forecast,MATCH($D$8&amp;$D16&amp;$D$7,[1]!rng_ForecastRowLookup,0),MATCH(Q$11,[1]!rng_ForecastColumnLookup,0)))</f>
        <v>188300.53429082572</v>
      </c>
      <c r="R16" s="32">
        <f>Q16*(1+INDEX([1]!tbl_Forecast,MATCH($D$8&amp;$D16&amp;$D$7,[1]!rng_ForecastRowLookup,0),MATCH(R$11,[1]!rng_ForecastColumnLookup,0)))</f>
        <v>188701.25279886081</v>
      </c>
      <c r="S16" s="32">
        <f>R16*(1+INDEX([1]!tbl_Forecast,MATCH($D$8&amp;$D16&amp;$D$7,[1]!rng_ForecastRowLookup,0),MATCH(S$11,[1]!rng_ForecastColumnLookup,0)))</f>
        <v>189118.78399882661</v>
      </c>
      <c r="T16" s="32">
        <f>S16*(1+INDEX([1]!tbl_Forecast,MATCH($D$8&amp;$D16&amp;$D$7,[1]!rng_ForecastRowLookup,0),MATCH(T$11,[1]!rng_ForecastColumnLookup,0)))</f>
        <v>189545.78065238727</v>
      </c>
      <c r="U16" s="32">
        <f>T16*(1+INDEX([1]!tbl_Forecast,MATCH($D$8&amp;$D16&amp;$D$7,[1]!rng_ForecastRowLookup,0),MATCH(U$11,[1]!rng_ForecastColumnLookup,0)))</f>
        <v>189990.5411109298</v>
      </c>
      <c r="V16" s="32">
        <f>U16*(1+INDEX([1]!tbl_Forecast,MATCH($D$8&amp;$D16&amp;$D$7,[1]!rng_ForecastRowLookup,0),MATCH(V$11,[1]!rng_ForecastColumnLookup,0)))</f>
        <v>190449.26700447156</v>
      </c>
      <c r="W16" s="32">
        <f>V16*(1+INDEX([1]!tbl_Forecast,MATCH($D$8&amp;$D16&amp;$D$7,[1]!rng_ForecastRowLookup,0),MATCH(W$11,[1]!rng_ForecastColumnLookup,0)))</f>
        <v>190922.50132154126</v>
      </c>
      <c r="X16" s="32">
        <f>W16*(1+INDEX([1]!tbl_Forecast,MATCH($D$8&amp;$D16&amp;$D$7,[1]!rng_ForecastRowLookup,0),MATCH(X$11,[1]!rng_ForecastColumnLookup,0)))</f>
        <v>191406.37752359879</v>
      </c>
      <c r="Y16" s="302"/>
      <c r="AA16" s="41"/>
    </row>
    <row r="17" spans="2:27">
      <c r="B17" s="7" t="str">
        <f t="shared" si="1"/>
        <v>CenterPivot High PMontana</v>
      </c>
      <c r="C17" s="7" t="s">
        <v>144</v>
      </c>
      <c r="D17" s="7" t="s">
        <v>130</v>
      </c>
      <c r="E17" s="32">
        <f>INDEX([2]SATS!$C$11:$F$21,MATCH($C17,[2]SATS!$B$11:$B$22,0),MATCH($D17,[2]SATS!$C$10:$F$10,0))</f>
        <v>10521.809398644995</v>
      </c>
      <c r="F17" s="32">
        <f>E17*(1+INDEX([1]!tbl_Forecast,MATCH($D$8&amp;$D17&amp;$D$7,[1]!rng_ForecastRowLookup,0),MATCH(F$11,[1]!rng_ForecastColumnLookup,0)))</f>
        <v>10635.95253643423</v>
      </c>
      <c r="G17" s="32">
        <f>F17*(1+INDEX([1]!tbl_Forecast,MATCH($D$8&amp;$D17&amp;$D$7,[1]!rng_ForecastRowLookup,0),MATCH(G$11,[1]!rng_ForecastColumnLookup,0)))</f>
        <v>10748.615741480684</v>
      </c>
      <c r="H17" s="32">
        <f>G17*(1+INDEX([1]!tbl_Forecast,MATCH($D$8&amp;$D17&amp;$D$7,[1]!rng_ForecastRowLookup,0),MATCH(H$11,[1]!rng_ForecastColumnLookup,0)))</f>
        <v>10864.188212459778</v>
      </c>
      <c r="I17" s="32">
        <f>H17*(1+INDEX([1]!tbl_Forecast,MATCH($D$8&amp;$D17&amp;$D$7,[1]!rng_ForecastRowLookup,0),MATCH(I$11,[1]!rng_ForecastColumnLookup,0)))</f>
        <v>10981.070563082583</v>
      </c>
      <c r="J17" s="32">
        <f>I17*(1+INDEX([1]!tbl_Forecast,MATCH($D$8&amp;$D17&amp;$D$7,[1]!rng_ForecastRowLookup,0),MATCH(J$11,[1]!rng_ForecastColumnLookup,0)))</f>
        <v>11065.149760987722</v>
      </c>
      <c r="K17" s="32">
        <f>J17*(1+INDEX([1]!tbl_Forecast,MATCH($D$8&amp;$D17&amp;$D$7,[1]!rng_ForecastRowLookup,0),MATCH(K$11,[1]!rng_ForecastColumnLookup,0)))</f>
        <v>11149.833641169238</v>
      </c>
      <c r="L17" s="32">
        <f>K17*(1+INDEX([1]!tbl_Forecast,MATCH($D$8&amp;$D17&amp;$D$7,[1]!rng_ForecastRowLookup,0),MATCH(L$11,[1]!rng_ForecastColumnLookup,0)))</f>
        <v>11238.180106065722</v>
      </c>
      <c r="M17" s="32">
        <f>L17*(1+INDEX([1]!tbl_Forecast,MATCH($D$8&amp;$D17&amp;$D$7,[1]!rng_ForecastRowLookup,0),MATCH(M$11,[1]!rng_ForecastColumnLookup,0)))</f>
        <v>11329.725257900869</v>
      </c>
      <c r="N17" s="32">
        <f>M17*(1+INDEX([1]!tbl_Forecast,MATCH($D$8&amp;$D17&amp;$D$7,[1]!rng_ForecastRowLookup,0),MATCH(N$11,[1]!rng_ForecastColumnLookup,0)))</f>
        <v>11424.116421450588</v>
      </c>
      <c r="O17" s="32">
        <f>N17*(1+INDEX([1]!tbl_Forecast,MATCH($D$8&amp;$D17&amp;$D$7,[1]!rng_ForecastRowLookup,0),MATCH(O$11,[1]!rng_ForecastColumnLookup,0)))</f>
        <v>11520.894206791789</v>
      </c>
      <c r="P17" s="32">
        <f>O17*(1+INDEX([1]!tbl_Forecast,MATCH($D$8&amp;$D17&amp;$D$7,[1]!rng_ForecastRowLookup,0),MATCH(P$11,[1]!rng_ForecastColumnLookup,0)))</f>
        <v>11619.903463944032</v>
      </c>
      <c r="Q17" s="32">
        <f>P17*(1+INDEX([1]!tbl_Forecast,MATCH($D$8&amp;$D17&amp;$D$7,[1]!rng_ForecastRowLookup,0),MATCH(Q$11,[1]!rng_ForecastColumnLookup,0)))</f>
        <v>11720.840955469655</v>
      </c>
      <c r="R17" s="32">
        <f>Q17*(1+INDEX([1]!tbl_Forecast,MATCH($D$8&amp;$D17&amp;$D$7,[1]!rng_ForecastRowLookup,0),MATCH(R$11,[1]!rng_ForecastColumnLookup,0)))</f>
        <v>11823.610227432955</v>
      </c>
      <c r="S17" s="32">
        <f>R17*(1+INDEX([1]!tbl_Forecast,MATCH($D$8&amp;$D17&amp;$D$7,[1]!rng_ForecastRowLookup,0),MATCH(S$11,[1]!rng_ForecastColumnLookup,0)))</f>
        <v>11927.979443391745</v>
      </c>
      <c r="T17" s="32">
        <f>S17*(1+INDEX([1]!tbl_Forecast,MATCH($D$8&amp;$D17&amp;$D$7,[1]!rng_ForecastRowLookup,0),MATCH(T$11,[1]!rng_ForecastColumnLookup,0)))</f>
        <v>12033.369781405056</v>
      </c>
      <c r="U17" s="32">
        <f>T17*(1+INDEX([1]!tbl_Forecast,MATCH($D$8&amp;$D17&amp;$D$7,[1]!rng_ForecastRowLookup,0),MATCH(U$11,[1]!rng_ForecastColumnLookup,0)))</f>
        <v>12140.240576303837</v>
      </c>
      <c r="V17" s="32">
        <f>U17*(1+INDEX([1]!tbl_Forecast,MATCH($D$8&amp;$D17&amp;$D$7,[1]!rng_ForecastRowLookup,0),MATCH(V$11,[1]!rng_ForecastColumnLookup,0)))</f>
        <v>12248.263290051207</v>
      </c>
      <c r="W17" s="32">
        <f>V17*(1+INDEX([1]!tbl_Forecast,MATCH($D$8&amp;$D17&amp;$D$7,[1]!rng_ForecastRowLookup,0),MATCH(W$11,[1]!rng_ForecastColumnLookup,0)))</f>
        <v>12357.418327911726</v>
      </c>
      <c r="X17" s="32">
        <f>W17*(1+INDEX([1]!tbl_Forecast,MATCH($D$8&amp;$D17&amp;$D$7,[1]!rng_ForecastRowLookup,0),MATCH(X$11,[1]!rng_ForecastColumnLookup,0)))</f>
        <v>12467.418204638452</v>
      </c>
      <c r="Y17" s="302"/>
      <c r="AA17" s="41"/>
    </row>
    <row r="18" spans="2:27">
      <c r="B18" s="7" t="str">
        <f t="shared" si="1"/>
        <v>CenterPivot Med PMontana</v>
      </c>
      <c r="C18" s="7" t="s">
        <v>145</v>
      </c>
      <c r="D18" s="7" t="s">
        <v>130</v>
      </c>
      <c r="E18" s="32">
        <f>INDEX([2]SATS!$C$11:$F$21,MATCH($C18,[2]SATS!$B$11:$B$22,0),MATCH($D18,[2]SATS!$C$10:$F$10,0))</f>
        <v>55997.38035983876</v>
      </c>
      <c r="F18" s="32">
        <f>E18*(1+INDEX([1]!tbl_Forecast,MATCH($D$8&amp;$D18&amp;$D$7,[1]!rng_ForecastRowLookup,0),MATCH(F$11,[1]!rng_ForecastColumnLookup,0)))</f>
        <v>56604.853510138586</v>
      </c>
      <c r="G18" s="32">
        <f>F18*(1+INDEX([1]!tbl_Forecast,MATCH($D$8&amp;$D18&amp;$D$7,[1]!rng_ForecastRowLookup,0),MATCH(G$11,[1]!rng_ForecastColumnLookup,0)))</f>
        <v>57204.450414674531</v>
      </c>
      <c r="H18" s="32">
        <f>G18*(1+INDEX([1]!tbl_Forecast,MATCH($D$8&amp;$D18&amp;$D$7,[1]!rng_ForecastRowLookup,0),MATCH(H$11,[1]!rng_ForecastColumnLookup,0)))</f>
        <v>57819.530518423242</v>
      </c>
      <c r="I18" s="32">
        <f>H18*(1+INDEX([1]!tbl_Forecast,MATCH($D$8&amp;$D18&amp;$D$7,[1]!rng_ForecastRowLookup,0),MATCH(I$11,[1]!rng_ForecastColumnLookup,0)))</f>
        <v>58441.581840320418</v>
      </c>
      <c r="J18" s="32">
        <f>I18*(1+INDEX([1]!tbl_Forecast,MATCH($D$8&amp;$D18&amp;$D$7,[1]!rng_ForecastRowLookup,0),MATCH(J$11,[1]!rng_ForecastColumnLookup,0)))</f>
        <v>58889.053814679748</v>
      </c>
      <c r="K18" s="32">
        <f>J18*(1+INDEX([1]!tbl_Forecast,MATCH($D$8&amp;$D18&amp;$D$7,[1]!rng_ForecastRowLookup,0),MATCH(K$11,[1]!rng_ForecastColumnLookup,0)))</f>
        <v>59339.743925972019</v>
      </c>
      <c r="L18" s="32">
        <f>K18*(1+INDEX([1]!tbl_Forecast,MATCH($D$8&amp;$D18&amp;$D$7,[1]!rng_ForecastRowLookup,0),MATCH(L$11,[1]!rng_ForecastColumnLookup,0)))</f>
        <v>59809.926421284341</v>
      </c>
      <c r="M18" s="32">
        <f>L18*(1+INDEX([1]!tbl_Forecast,MATCH($D$8&amp;$D18&amp;$D$7,[1]!rng_ForecastRowLookup,0),MATCH(M$11,[1]!rng_ForecastColumnLookup,0)))</f>
        <v>60297.132422950948</v>
      </c>
      <c r="N18" s="32">
        <f>M18*(1+INDEX([1]!tbl_Forecast,MATCH($D$8&amp;$D18&amp;$D$7,[1]!rng_ForecastRowLookup,0),MATCH(N$11,[1]!rng_ForecastColumnLookup,0)))</f>
        <v>60799.484983013674</v>
      </c>
      <c r="O18" s="32">
        <f>N18*(1+INDEX([1]!tbl_Forecast,MATCH($D$8&amp;$D18&amp;$D$7,[1]!rng_ForecastRowLookup,0),MATCH(O$11,[1]!rng_ForecastColumnLookup,0)))</f>
        <v>61314.539214734687</v>
      </c>
      <c r="P18" s="32">
        <f>O18*(1+INDEX([1]!tbl_Forecast,MATCH($D$8&amp;$D18&amp;$D$7,[1]!rng_ForecastRowLookup,0),MATCH(P$11,[1]!rng_ForecastColumnLookup,0)))</f>
        <v>61841.469405336058</v>
      </c>
      <c r="Q18" s="32">
        <f>P18*(1+INDEX([1]!tbl_Forecast,MATCH($D$8&amp;$D18&amp;$D$7,[1]!rng_ForecastRowLookup,0),MATCH(Q$11,[1]!rng_ForecastColumnLookup,0)))</f>
        <v>62378.661716219038</v>
      </c>
      <c r="R18" s="32">
        <f>Q18*(1+INDEX([1]!tbl_Forecast,MATCH($D$8&amp;$D18&amp;$D$7,[1]!rng_ForecastRowLookup,0),MATCH(R$11,[1]!rng_ForecastColumnLookup,0)))</f>
        <v>62925.602816689243</v>
      </c>
      <c r="S18" s="32">
        <f>R18*(1+INDEX([1]!tbl_Forecast,MATCH($D$8&amp;$D18&amp;$D$7,[1]!rng_ForecastRowLookup,0),MATCH(S$11,[1]!rng_ForecastColumnLookup,0)))</f>
        <v>63481.058866354535</v>
      </c>
      <c r="T18" s="32">
        <f>S18*(1+INDEX([1]!tbl_Forecast,MATCH($D$8&amp;$D18&amp;$D$7,[1]!rng_ForecastRowLookup,0),MATCH(T$11,[1]!rng_ForecastColumnLookup,0)))</f>
        <v>64041.949357750753</v>
      </c>
      <c r="U18" s="32">
        <f>T18*(1+INDEX([1]!tbl_Forecast,MATCH($D$8&amp;$D18&amp;$D$7,[1]!rng_ForecastRowLookup,0),MATCH(U$11,[1]!rng_ForecastColumnLookup,0)))</f>
        <v>64610.718884413727</v>
      </c>
      <c r="V18" s="32">
        <f>U18*(1+INDEX([1]!tbl_Forecast,MATCH($D$8&amp;$D18&amp;$D$7,[1]!rng_ForecastRowLookup,0),MATCH(V$11,[1]!rng_ForecastColumnLookup,0)))</f>
        <v>65185.61895720847</v>
      </c>
      <c r="W18" s="32">
        <f>V18*(1+INDEX([1]!tbl_Forecast,MATCH($D$8&amp;$D18&amp;$D$7,[1]!rng_ForecastRowLookup,0),MATCH(W$11,[1]!rng_ForecastColumnLookup,0)))</f>
        <v>65766.545292374285</v>
      </c>
      <c r="X18" s="32">
        <f>W18*(1+INDEX([1]!tbl_Forecast,MATCH($D$8&amp;$D18&amp;$D$7,[1]!rng_ForecastRowLookup,0),MATCH(X$11,[1]!rng_ForecastColumnLookup,0)))</f>
        <v>66351.967884936661</v>
      </c>
      <c r="Y18" s="302"/>
      <c r="AA18" s="41"/>
    </row>
    <row r="19" spans="2:27">
      <c r="B19" s="7" t="str">
        <f t="shared" si="1"/>
        <v>Alfalfa Wheel LineMontana</v>
      </c>
      <c r="C19" s="7" t="s">
        <v>142</v>
      </c>
      <c r="D19" s="7" t="s">
        <v>130</v>
      </c>
      <c r="E19" s="32">
        <f>INDEX([2]SATS!$C$11:$F$21,MATCH($C19,[2]SATS!$B$11:$B$22,0),MATCH($D19,[2]SATS!$C$10:$F$10,0))</f>
        <v>48863.187593415983</v>
      </c>
      <c r="F19" s="32">
        <f>E19*(1+INDEX([1]!tbl_Forecast,MATCH($D$8&amp;$D19&amp;$D$7,[1]!rng_ForecastRowLookup,0),MATCH(F$11,[1]!rng_ForecastColumnLookup,0)))</f>
        <v>49393.26729197189</v>
      </c>
      <c r="G19" s="32">
        <f>F19*(1+INDEX([1]!tbl_Forecast,MATCH($D$8&amp;$D19&amp;$D$7,[1]!rng_ForecastRowLookup,0),MATCH(G$11,[1]!rng_ForecastColumnLookup,0)))</f>
        <v>49916.474196268151</v>
      </c>
      <c r="H19" s="32">
        <f>G19*(1+INDEX([1]!tbl_Forecast,MATCH($D$8&amp;$D19&amp;$D$7,[1]!rng_ForecastRowLookup,0),MATCH(H$11,[1]!rng_ForecastColumnLookup,0)))</f>
        <v>50453.191705218022</v>
      </c>
      <c r="I19" s="32">
        <f>H19*(1+INDEX([1]!tbl_Forecast,MATCH($D$8&amp;$D19&amp;$D$7,[1]!rng_ForecastRowLookup,0),MATCH(I$11,[1]!rng_ForecastColumnLookup,0)))</f>
        <v>50995.992283374959</v>
      </c>
      <c r="J19" s="32">
        <f>I19*(1+INDEX([1]!tbl_Forecast,MATCH($D$8&amp;$D19&amp;$D$7,[1]!rng_ForecastRowLookup,0),MATCH(J$11,[1]!rng_ForecastColumnLookup,0)))</f>
        <v>51386.45531727784</v>
      </c>
      <c r="K19" s="32">
        <f>J19*(1+INDEX([1]!tbl_Forecast,MATCH($D$8&amp;$D19&amp;$D$7,[1]!rng_ForecastRowLookup,0),MATCH(K$11,[1]!rng_ForecastColumnLookup,0)))</f>
        <v>51779.726490198031</v>
      </c>
      <c r="L19" s="32">
        <f>K19*(1+INDEX([1]!tbl_Forecast,MATCH($D$8&amp;$D19&amp;$D$7,[1]!rng_ForecastRowLookup,0),MATCH(L$11,[1]!rng_ForecastColumnLookup,0)))</f>
        <v>52190.006673377167</v>
      </c>
      <c r="M19" s="32">
        <f>L19*(1+INDEX([1]!tbl_Forecast,MATCH($D$8&amp;$D19&amp;$D$7,[1]!rng_ForecastRowLookup,0),MATCH(M$11,[1]!rng_ForecastColumnLookup,0)))</f>
        <v>52615.141529741762</v>
      </c>
      <c r="N19" s="32">
        <f>M19*(1+INDEX([1]!tbl_Forecast,MATCH($D$8&amp;$D19&amp;$D$7,[1]!rng_ForecastRowLookup,0),MATCH(N$11,[1]!rng_ForecastColumnLookup,0)))</f>
        <v>53053.493238743897</v>
      </c>
      <c r="O19" s="32">
        <f>N19*(1+INDEX([1]!tbl_Forecast,MATCH($D$8&amp;$D19&amp;$D$7,[1]!rng_ForecastRowLookup,0),MATCH(O$11,[1]!rng_ForecastColumnLookup,0)))</f>
        <v>53502.92839773959</v>
      </c>
      <c r="P19" s="32">
        <f>O19*(1+INDEX([1]!tbl_Forecast,MATCH($D$8&amp;$D19&amp;$D$7,[1]!rng_ForecastRowLookup,0),MATCH(P$11,[1]!rng_ForecastColumnLookup,0)))</f>
        <v>53962.726491624271</v>
      </c>
      <c r="Q19" s="32">
        <f>P19*(1+INDEX([1]!tbl_Forecast,MATCH($D$8&amp;$D19&amp;$D$7,[1]!rng_ForecastRowLookup,0),MATCH(Q$11,[1]!rng_ForecastColumnLookup,0)))</f>
        <v>54431.479288482624</v>
      </c>
      <c r="R19" s="32">
        <f>Q19*(1+INDEX([1]!tbl_Forecast,MATCH($D$8&amp;$D19&amp;$D$7,[1]!rng_ForecastRowLookup,0),MATCH(R$11,[1]!rng_ForecastColumnLookup,0)))</f>
        <v>54908.738857110453</v>
      </c>
      <c r="S19" s="32">
        <f>R19*(1+INDEX([1]!tbl_Forecast,MATCH($D$8&amp;$D19&amp;$D$7,[1]!rng_ForecastRowLookup,0),MATCH(S$11,[1]!rng_ForecastColumnLookup,0)))</f>
        <v>55393.428551169047</v>
      </c>
      <c r="T19" s="32">
        <f>S19*(1+INDEX([1]!tbl_Forecast,MATCH($D$8&amp;$D19&amp;$D$7,[1]!rng_ForecastRowLookup,0),MATCH(T$11,[1]!rng_ForecastColumnLookup,0)))</f>
        <v>55882.860326804621</v>
      </c>
      <c r="U19" s="32">
        <f>T19*(1+INDEX([1]!tbl_Forecast,MATCH($D$8&amp;$D19&amp;$D$7,[1]!rng_ForecastRowLookup,0),MATCH(U$11,[1]!rng_ForecastColumnLookup,0)))</f>
        <v>56379.167330813754</v>
      </c>
      <c r="V19" s="32">
        <f>U19*(1+INDEX([1]!tbl_Forecast,MATCH($D$8&amp;$D19&amp;$D$7,[1]!rng_ForecastRowLookup,0),MATCH(V$11,[1]!rng_ForecastColumnLookup,0)))</f>
        <v>56880.823835527415</v>
      </c>
      <c r="W19" s="32">
        <f>V19*(1+INDEX([1]!tbl_Forecast,MATCH($D$8&amp;$D19&amp;$D$7,[1]!rng_ForecastRowLookup,0),MATCH(W$11,[1]!rng_ForecastColumnLookup,0)))</f>
        <v>57387.73884317161</v>
      </c>
      <c r="X19" s="32">
        <f>W19*(1+INDEX([1]!tbl_Forecast,MATCH($D$8&amp;$D19&amp;$D$7,[1]!rng_ForecastRowLookup,0),MATCH(X$11,[1]!rng_ForecastColumnLookup,0)))</f>
        <v>57898.57727486216</v>
      </c>
      <c r="Y19" s="302"/>
      <c r="AA19" s="41"/>
    </row>
    <row r="20" spans="2:27">
      <c r="B20" s="7" t="str">
        <f t="shared" si="1"/>
        <v>Alfalfa Hand LineMontana</v>
      </c>
      <c r="C20" s="7" t="s">
        <v>143</v>
      </c>
      <c r="D20" s="7" t="s">
        <v>130</v>
      </c>
      <c r="E20" s="32">
        <f>INDEX([2]SATS!$C$11:$F$21,MATCH($C20,[2]SATS!$B$11:$B$22,0),MATCH($D20,[2]SATS!$C$10:$F$10,0))</f>
        <v>11705.326375703606</v>
      </c>
      <c r="F20" s="32">
        <f>E20*(1+INDEX([1]!tbl_Forecast,MATCH($D$8&amp;$D20&amp;$D$7,[1]!rng_ForecastRowLookup,0),MATCH(F$11,[1]!rng_ForecastColumnLookup,0)))</f>
        <v>11832.308592425945</v>
      </c>
      <c r="G20" s="32">
        <f>F20*(1+INDEX([1]!tbl_Forecast,MATCH($D$8&amp;$D20&amp;$D$7,[1]!rng_ForecastRowLookup,0),MATCH(G$11,[1]!rng_ForecastColumnLookup,0)))</f>
        <v>11957.644410215173</v>
      </c>
      <c r="H20" s="32">
        <f>G20*(1+INDEX([1]!tbl_Forecast,MATCH($D$8&amp;$D20&amp;$D$7,[1]!rng_ForecastRowLookup,0),MATCH(H$11,[1]!rng_ForecastColumnLookup,0)))</f>
        <v>12086.216734765268</v>
      </c>
      <c r="I20" s="32">
        <f>H20*(1+INDEX([1]!tbl_Forecast,MATCH($D$8&amp;$D20&amp;$D$7,[1]!rng_ForecastRowLookup,0),MATCH(I$11,[1]!rng_ForecastColumnLookup,0)))</f>
        <v>12216.246277191265</v>
      </c>
      <c r="J20" s="32">
        <f>I20*(1+INDEX([1]!tbl_Forecast,MATCH($D$8&amp;$D20&amp;$D$7,[1]!rng_ForecastRowLookup,0),MATCH(J$11,[1]!rng_ForecastColumnLookup,0)))</f>
        <v>12309.782893907946</v>
      </c>
      <c r="K20" s="32">
        <f>J20*(1+INDEX([1]!tbl_Forecast,MATCH($D$8&amp;$D20&amp;$D$7,[1]!rng_ForecastRowLookup,0),MATCH(K$11,[1]!rng_ForecastColumnLookup,0)))</f>
        <v>12403.992208934436</v>
      </c>
      <c r="L20" s="32">
        <f>K20*(1+INDEX([1]!tbl_Forecast,MATCH($D$8&amp;$D20&amp;$D$7,[1]!rng_ForecastRowLookup,0),MATCH(L$11,[1]!rng_ForecastColumnLookup,0)))</f>
        <v>12502.276084508743</v>
      </c>
      <c r="M20" s="32">
        <f>L20*(1+INDEX([1]!tbl_Forecast,MATCH($D$8&amp;$D20&amp;$D$7,[1]!rng_ForecastRowLookup,0),MATCH(M$11,[1]!rng_ForecastColumnLookup,0)))</f>
        <v>12604.118442580897</v>
      </c>
      <c r="N20" s="32">
        <f>M20*(1+INDEX([1]!tbl_Forecast,MATCH($D$8&amp;$D20&amp;$D$7,[1]!rng_ForecastRowLookup,0),MATCH(N$11,[1]!rng_ForecastColumnLookup,0)))</f>
        <v>12709.126938217983</v>
      </c>
      <c r="O20" s="32">
        <f>N20*(1+INDEX([1]!tbl_Forecast,MATCH($D$8&amp;$D20&amp;$D$7,[1]!rng_ForecastRowLookup,0),MATCH(O$11,[1]!rng_ForecastColumnLookup,0)))</f>
        <v>12816.790508276799</v>
      </c>
      <c r="P20" s="32">
        <f>O20*(1+INDEX([1]!tbl_Forecast,MATCH($D$8&amp;$D20&amp;$D$7,[1]!rng_ForecastRowLookup,0),MATCH(P$11,[1]!rng_ForecastColumnLookup,0)))</f>
        <v>12926.936551155341</v>
      </c>
      <c r="Q20" s="32">
        <f>P20*(1+INDEX([1]!tbl_Forecast,MATCH($D$8&amp;$D20&amp;$D$7,[1]!rng_ForecastRowLookup,0),MATCH(Q$11,[1]!rng_ForecastColumnLookup,0)))</f>
        <v>13039.227720581428</v>
      </c>
      <c r="R20" s="32">
        <f>Q20*(1+INDEX([1]!tbl_Forecast,MATCH($D$8&amp;$D20&amp;$D$7,[1]!rng_ForecastRowLookup,0),MATCH(R$11,[1]!rng_ForecastColumnLookup,0)))</f>
        <v>13153.556713261982</v>
      </c>
      <c r="S20" s="32">
        <f>R20*(1+INDEX([1]!tbl_Forecast,MATCH($D$8&amp;$D20&amp;$D$7,[1]!rng_ForecastRowLookup,0),MATCH(S$11,[1]!rng_ForecastColumnLookup,0)))</f>
        <v>13269.665615266162</v>
      </c>
      <c r="T20" s="32">
        <f>S20*(1+INDEX([1]!tbl_Forecast,MATCH($D$8&amp;$D20&amp;$D$7,[1]!rng_ForecastRowLookup,0),MATCH(T$11,[1]!rng_ForecastColumnLookup,0)))</f>
        <v>13386.910497448725</v>
      </c>
      <c r="U20" s="32">
        <f>T20*(1+INDEX([1]!tbl_Forecast,MATCH($D$8&amp;$D20&amp;$D$7,[1]!rng_ForecastRowLookup,0),MATCH(U$11,[1]!rng_ForecastColumnLookup,0)))</f>
        <v>13505.802361663849</v>
      </c>
      <c r="V20" s="32">
        <f>U20*(1+INDEX([1]!tbl_Forecast,MATCH($D$8&amp;$D20&amp;$D$7,[1]!rng_ForecastRowLookup,0),MATCH(V$11,[1]!rng_ForecastColumnLookup,0)))</f>
        <v>13625.975715171375</v>
      </c>
      <c r="W20" s="32">
        <f>V20*(1+INDEX([1]!tbl_Forecast,MATCH($D$8&amp;$D20&amp;$D$7,[1]!rng_ForecastRowLookup,0),MATCH(W$11,[1]!rng_ForecastColumnLookup,0)))</f>
        <v>13747.408759175592</v>
      </c>
      <c r="X20" s="32">
        <f>W20*(1+INDEX([1]!tbl_Forecast,MATCH($D$8&amp;$D20&amp;$D$7,[1]!rng_ForecastRowLookup,0),MATCH(X$11,[1]!rng_ForecastColumnLookup,0)))</f>
        <v>13869.781671437177</v>
      </c>
      <c r="Y20" s="302"/>
      <c r="AA20" s="41"/>
    </row>
    <row r="21" spans="2:27">
      <c r="B21" s="7" t="str">
        <f t="shared" si="1"/>
        <v>CenterPivot High POregon</v>
      </c>
      <c r="C21" s="7" t="s">
        <v>144</v>
      </c>
      <c r="D21" s="7" t="s">
        <v>135</v>
      </c>
      <c r="E21" s="32">
        <f>INDEX([2]SATS!$C$11:$F$21,MATCH($C21,[2]SATS!$B$11:$B$22,0),MATCH($D21,[2]SATS!$C$10:$F$10,0))</f>
        <v>73681</v>
      </c>
      <c r="F21" s="32">
        <f>E21*(1+INDEX([1]!tbl_Forecast,MATCH($D$8&amp;$D21&amp;$D$7,[1]!rng_ForecastRowLookup,0),MATCH(F$11,[1]!rng_ForecastColumnLookup,0)))</f>
        <v>74425.97699957226</v>
      </c>
      <c r="G21" s="32">
        <f>F21*(1+INDEX([1]!tbl_Forecast,MATCH($D$8&amp;$D21&amp;$D$7,[1]!rng_ForecastRowLookup,0),MATCH(G$11,[1]!rng_ForecastColumnLookup,0)))</f>
        <v>75174.64409023973</v>
      </c>
      <c r="H21" s="32">
        <f>G21*(1+INDEX([1]!tbl_Forecast,MATCH($D$8&amp;$D21&amp;$D$7,[1]!rng_ForecastRowLookup,0),MATCH(H$11,[1]!rng_ForecastColumnLookup,0)))</f>
        <v>76014.861017684772</v>
      </c>
      <c r="I21" s="32">
        <f>H21*(1+INDEX([1]!tbl_Forecast,MATCH($D$8&amp;$D21&amp;$D$7,[1]!rng_ForecastRowLookup,0),MATCH(I$11,[1]!rng_ForecastColumnLookup,0)))</f>
        <v>77520.1911110129</v>
      </c>
      <c r="J21" s="32">
        <f>I21*(1+INDEX([1]!tbl_Forecast,MATCH($D$8&amp;$D21&amp;$D$7,[1]!rng_ForecastRowLookup,0),MATCH(J$11,[1]!rng_ForecastColumnLookup,0)))</f>
        <v>78456.544178179378</v>
      </c>
      <c r="K21" s="32">
        <f>J21*(1+INDEX([1]!tbl_Forecast,MATCH($D$8&amp;$D21&amp;$D$7,[1]!rng_ForecastRowLookup,0),MATCH(K$11,[1]!rng_ForecastColumnLookup,0)))</f>
        <v>79403.900470266657</v>
      </c>
      <c r="L21" s="32">
        <f>K21*(1+INDEX([1]!tbl_Forecast,MATCH($D$8&amp;$D21&amp;$D$7,[1]!rng_ForecastRowLookup,0),MATCH(L$11,[1]!rng_ForecastColumnLookup,0)))</f>
        <v>80422.097405476612</v>
      </c>
      <c r="M21" s="32">
        <f>L21*(1+INDEX([1]!tbl_Forecast,MATCH($D$8&amp;$D21&amp;$D$7,[1]!rng_ForecastRowLookup,0),MATCH(M$11,[1]!rng_ForecastColumnLookup,0)))</f>
        <v>81392.361551908718</v>
      </c>
      <c r="N21" s="32">
        <f>M21*(1+INDEX([1]!tbl_Forecast,MATCH($D$8&amp;$D21&amp;$D$7,[1]!rng_ForecastRowLookup,0),MATCH(N$11,[1]!rng_ForecastColumnLookup,0)))</f>
        <v>83130.888591474373</v>
      </c>
      <c r="O21" s="32">
        <f>N21*(1+INDEX([1]!tbl_Forecast,MATCH($D$8&amp;$D21&amp;$D$7,[1]!rng_ForecastRowLookup,0),MATCH(O$11,[1]!rng_ForecastColumnLookup,0)))</f>
        <v>84117.176703625082</v>
      </c>
      <c r="P21" s="32">
        <f>O21*(1+INDEX([1]!tbl_Forecast,MATCH($D$8&amp;$D21&amp;$D$7,[1]!rng_ForecastRowLookup,0),MATCH(P$11,[1]!rng_ForecastColumnLookup,0)))</f>
        <v>85110.752486380676</v>
      </c>
      <c r="Q21" s="32">
        <f>P21*(1+INDEX([1]!tbl_Forecast,MATCH($D$8&amp;$D21&amp;$D$7,[1]!rng_ForecastRowLookup,0),MATCH(Q$11,[1]!rng_ForecastColumnLookup,0)))</f>
        <v>86052.116836025452</v>
      </c>
      <c r="R21" s="32">
        <f>Q21*(1+INDEX([1]!tbl_Forecast,MATCH($D$8&amp;$D21&amp;$D$7,[1]!rng_ForecastRowLookup,0),MATCH(R$11,[1]!rng_ForecastColumnLookup,0)))</f>
        <v>87057.997344361473</v>
      </c>
      <c r="S21" s="32">
        <f>R21*(1+INDEX([1]!tbl_Forecast,MATCH($D$8&amp;$D21&amp;$D$7,[1]!rng_ForecastRowLookup,0),MATCH(S$11,[1]!rng_ForecastColumnLookup,0)))</f>
        <v>88766.354238573738</v>
      </c>
      <c r="T21" s="32">
        <f>S21*(1+INDEX([1]!tbl_Forecast,MATCH($D$8&amp;$D21&amp;$D$7,[1]!rng_ForecastRowLookup,0),MATCH(T$11,[1]!rng_ForecastColumnLookup,0)))</f>
        <v>89836.357651043843</v>
      </c>
      <c r="U21" s="32">
        <f>T21*(1+INDEX([1]!tbl_Forecast,MATCH($D$8&amp;$D21&amp;$D$7,[1]!rng_ForecastRowLookup,0),MATCH(U$11,[1]!rng_ForecastColumnLookup,0)))</f>
        <v>90969.708777674197</v>
      </c>
      <c r="V21" s="32">
        <f>U21*(1+INDEX([1]!tbl_Forecast,MATCH($D$8&amp;$D21&amp;$D$7,[1]!rng_ForecastRowLookup,0),MATCH(V$11,[1]!rng_ForecastColumnLookup,0)))</f>
        <v>92106.510032009406</v>
      </c>
      <c r="W21" s="32">
        <f>V21*(1+INDEX([1]!tbl_Forecast,MATCH($D$8&amp;$D21&amp;$D$7,[1]!rng_ForecastRowLookup,0),MATCH(W$11,[1]!rng_ForecastColumnLookup,0)))</f>
        <v>93189.076150826149</v>
      </c>
      <c r="X21" s="32">
        <f>W21*(1+INDEX([1]!tbl_Forecast,MATCH($D$8&amp;$D21&amp;$D$7,[1]!rng_ForecastRowLookup,0),MATCH(X$11,[1]!rng_ForecastColumnLookup,0)))</f>
        <v>95141.020586652376</v>
      </c>
      <c r="Y21" s="302"/>
      <c r="AA21" s="41"/>
    </row>
    <row r="22" spans="2:27">
      <c r="B22" s="7" t="str">
        <f t="shared" si="1"/>
        <v>CenterPivot Med POregon</v>
      </c>
      <c r="C22" s="7" t="s">
        <v>145</v>
      </c>
      <c r="D22" s="7" t="s">
        <v>135</v>
      </c>
      <c r="E22" s="32">
        <f>INDEX([2]SATS!$C$11:$F$21,MATCH($C22,[2]SATS!$B$11:$B$22,0),MATCH($D22,[2]SATS!$C$10:$F$10,0))</f>
        <v>267691</v>
      </c>
      <c r="F22" s="32">
        <f>E22*(1+INDEX([1]!tbl_Forecast,MATCH($D$8&amp;$D22&amp;$D$7,[1]!rng_ForecastRowLookup,0),MATCH(F$11,[1]!rng_ForecastColumnLookup,0)))</f>
        <v>270397.58158809593</v>
      </c>
      <c r="G22" s="32">
        <f>F22*(1+INDEX([1]!tbl_Forecast,MATCH($D$8&amp;$D22&amp;$D$7,[1]!rng_ForecastRowLookup,0),MATCH(G$11,[1]!rng_ForecastColumnLookup,0)))</f>
        <v>273117.56967414072</v>
      </c>
      <c r="H22" s="32">
        <f>G22*(1+INDEX([1]!tbl_Forecast,MATCH($D$8&amp;$D22&amp;$D$7,[1]!rng_ForecastRowLookup,0),MATCH(H$11,[1]!rng_ForecastColumnLookup,0)))</f>
        <v>276170.16816662438</v>
      </c>
      <c r="I22" s="32">
        <f>H22*(1+INDEX([1]!tbl_Forecast,MATCH($D$8&amp;$D22&amp;$D$7,[1]!rng_ForecastRowLookup,0),MATCH(I$11,[1]!rng_ForecastColumnLookup,0)))</f>
        <v>281639.19434722862</v>
      </c>
      <c r="J22" s="32">
        <f>I22*(1+INDEX([1]!tbl_Forecast,MATCH($D$8&amp;$D22&amp;$D$7,[1]!rng_ForecastRowLookup,0),MATCH(J$11,[1]!rng_ForecastColumnLookup,0)))</f>
        <v>285041.06577816553</v>
      </c>
      <c r="K22" s="32">
        <f>J22*(1+INDEX([1]!tbl_Forecast,MATCH($D$8&amp;$D22&amp;$D$7,[1]!rng_ForecastRowLookup,0),MATCH(K$11,[1]!rng_ForecastColumnLookup,0)))</f>
        <v>288482.91310902609</v>
      </c>
      <c r="L22" s="32">
        <f>K22*(1+INDEX([1]!tbl_Forecast,MATCH($D$8&amp;$D22&amp;$D$7,[1]!rng_ForecastRowLookup,0),MATCH(L$11,[1]!rng_ForecastColumnLookup,0)))</f>
        <v>292182.13211777038</v>
      </c>
      <c r="M22" s="32">
        <f>L22*(1+INDEX([1]!tbl_Forecast,MATCH($D$8&amp;$D22&amp;$D$7,[1]!rng_ForecastRowLookup,0),MATCH(M$11,[1]!rng_ForecastColumnLookup,0)))</f>
        <v>295707.20614801644</v>
      </c>
      <c r="N22" s="32">
        <f>M22*(1+INDEX([1]!tbl_Forecast,MATCH($D$8&amp;$D22&amp;$D$7,[1]!rng_ForecastRowLookup,0),MATCH(N$11,[1]!rng_ForecastColumnLookup,0)))</f>
        <v>302023.46192288876</v>
      </c>
      <c r="O22" s="32">
        <f>N22*(1+INDEX([1]!tbl_Forecast,MATCH($D$8&amp;$D22&amp;$D$7,[1]!rng_ForecastRowLookup,0),MATCH(O$11,[1]!rng_ForecastColumnLookup,0)))</f>
        <v>305606.75274453528</v>
      </c>
      <c r="P22" s="32">
        <f>O22*(1+INDEX([1]!tbl_Forecast,MATCH($D$8&amp;$D22&amp;$D$7,[1]!rng_ForecastRowLookup,0),MATCH(P$11,[1]!rng_ForecastColumnLookup,0)))</f>
        <v>309216.52045753627</v>
      </c>
      <c r="Q22" s="32">
        <f>P22*(1+INDEX([1]!tbl_Forecast,MATCH($D$8&amp;$D22&amp;$D$7,[1]!rng_ForecastRowLookup,0),MATCH(Q$11,[1]!rng_ForecastColumnLookup,0)))</f>
        <v>312636.59841685765</v>
      </c>
      <c r="R22" s="32">
        <f>Q22*(1+INDEX([1]!tbl_Forecast,MATCH($D$8&amp;$D22&amp;$D$7,[1]!rng_ForecastRowLookup,0),MATCH(R$11,[1]!rng_ForecastColumnLookup,0)))</f>
        <v>316291.07052170119</v>
      </c>
      <c r="S22" s="32">
        <f>R22*(1+INDEX([1]!tbl_Forecast,MATCH($D$8&amp;$D22&amp;$D$7,[1]!rng_ForecastRowLookup,0),MATCH(S$11,[1]!rng_ForecastColumnLookup,0)))</f>
        <v>322497.71491263743</v>
      </c>
      <c r="T22" s="32">
        <f>S22*(1+INDEX([1]!tbl_Forecast,MATCH($D$8&amp;$D22&amp;$D$7,[1]!rng_ForecastRowLookup,0),MATCH(T$11,[1]!rng_ForecastColumnLookup,0)))</f>
        <v>326385.15242688853</v>
      </c>
      <c r="U22" s="32">
        <f>T22*(1+INDEX([1]!tbl_Forecast,MATCH($D$8&amp;$D22&amp;$D$7,[1]!rng_ForecastRowLookup,0),MATCH(U$11,[1]!rng_ForecastColumnLookup,0)))</f>
        <v>330502.73900197312</v>
      </c>
      <c r="V22" s="32">
        <f>U22*(1+INDEX([1]!tbl_Forecast,MATCH($D$8&amp;$D22&amp;$D$7,[1]!rng_ForecastRowLookup,0),MATCH(V$11,[1]!rng_ForecastColumnLookup,0)))</f>
        <v>334632.86026219279</v>
      </c>
      <c r="W22" s="32">
        <f>V22*(1+INDEX([1]!tbl_Forecast,MATCH($D$8&amp;$D22&amp;$D$7,[1]!rng_ForecastRowLookup,0),MATCH(W$11,[1]!rng_ForecastColumnLookup,0)))</f>
        <v>338565.93944016501</v>
      </c>
      <c r="X22" s="32">
        <f>W22*(1+INDEX([1]!tbl_Forecast,MATCH($D$8&amp;$D22&amp;$D$7,[1]!rng_ForecastRowLookup,0),MATCH(X$11,[1]!rng_ForecastColumnLookup,0)))</f>
        <v>345657.56357624836</v>
      </c>
      <c r="Y22" s="302"/>
      <c r="AA22" s="41"/>
    </row>
    <row r="23" spans="2:27">
      <c r="B23" s="7" t="str">
        <f t="shared" si="1"/>
        <v>Alfalfa Wheel LineOregon</v>
      </c>
      <c r="C23" s="7" t="s">
        <v>142</v>
      </c>
      <c r="D23" s="7" t="s">
        <v>135</v>
      </c>
      <c r="E23" s="32">
        <f>INDEX([2]SATS!$C$11:$F$21,MATCH($C23,[2]SATS!$B$11:$B$22,0),MATCH($D23,[2]SATS!$C$10:$F$10,0))</f>
        <v>192608.28800850257</v>
      </c>
      <c r="F23" s="32">
        <f>E23*(1+INDEX([1]!tbl_Forecast,MATCH($D$8&amp;$D23&amp;$D$7,[1]!rng_ForecastRowLookup,0),MATCH(F$11,[1]!rng_ForecastColumnLookup,0)))</f>
        <v>194555.72010759628</v>
      </c>
      <c r="G23" s="32">
        <f>F23*(1+INDEX([1]!tbl_Forecast,MATCH($D$8&amp;$D23&amp;$D$7,[1]!rng_ForecastRowLookup,0),MATCH(G$11,[1]!rng_ForecastColumnLookup,0)))</f>
        <v>196512.79841301788</v>
      </c>
      <c r="H23" s="32">
        <f>G23*(1+INDEX([1]!tbl_Forecast,MATCH($D$8&amp;$D23&amp;$D$7,[1]!rng_ForecastRowLookup,0),MATCH(H$11,[1]!rng_ForecastColumnLookup,0)))</f>
        <v>198709.19563823135</v>
      </c>
      <c r="I23" s="32">
        <f>H23*(1+INDEX([1]!tbl_Forecast,MATCH($D$8&amp;$D23&amp;$D$7,[1]!rng_ForecastRowLookup,0),MATCH(I$11,[1]!rng_ForecastColumnLookup,0)))</f>
        <v>202644.25423086187</v>
      </c>
      <c r="J23" s="32">
        <f>I23*(1+INDEX([1]!tbl_Forecast,MATCH($D$8&amp;$D23&amp;$D$7,[1]!rng_ForecastRowLookup,0),MATCH(J$11,[1]!rng_ForecastColumnLookup,0)))</f>
        <v>205091.95935482119</v>
      </c>
      <c r="K23" s="32">
        <f>J23*(1+INDEX([1]!tbl_Forecast,MATCH($D$8&amp;$D23&amp;$D$7,[1]!rng_ForecastRowLookup,0),MATCH(K$11,[1]!rng_ForecastColumnLookup,0)))</f>
        <v>207568.4278277384</v>
      </c>
      <c r="L23" s="32">
        <f>K23*(1+INDEX([1]!tbl_Forecast,MATCH($D$8&amp;$D23&amp;$D$7,[1]!rng_ForecastRowLookup,0),MATCH(L$11,[1]!rng_ForecastColumnLookup,0)))</f>
        <v>210230.07965855359</v>
      </c>
      <c r="M23" s="32">
        <f>L23*(1+INDEX([1]!tbl_Forecast,MATCH($D$8&amp;$D23&amp;$D$7,[1]!rng_ForecastRowLookup,0),MATCH(M$11,[1]!rng_ForecastColumnLookup,0)))</f>
        <v>212766.43117604547</v>
      </c>
      <c r="N23" s="32">
        <f>M23*(1+INDEX([1]!tbl_Forecast,MATCH($D$8&amp;$D23&amp;$D$7,[1]!rng_ForecastRowLookup,0),MATCH(N$11,[1]!rng_ForecastColumnLookup,0)))</f>
        <v>217311.08606329226</v>
      </c>
      <c r="O23" s="32">
        <f>N23*(1+INDEX([1]!tbl_Forecast,MATCH($D$8&amp;$D23&amp;$D$7,[1]!rng_ForecastRowLookup,0),MATCH(O$11,[1]!rng_ForecastColumnLookup,0)))</f>
        <v>219889.32556553144</v>
      </c>
      <c r="P23" s="32">
        <f>O23*(1+INDEX([1]!tbl_Forecast,MATCH($D$8&amp;$D23&amp;$D$7,[1]!rng_ForecastRowLookup,0),MATCH(P$11,[1]!rng_ForecastColumnLookup,0)))</f>
        <v>222486.61564741499</v>
      </c>
      <c r="Q23" s="32">
        <f>P23*(1+INDEX([1]!tbl_Forecast,MATCH($D$8&amp;$D23&amp;$D$7,[1]!rng_ForecastRowLookup,0),MATCH(Q$11,[1]!rng_ForecastColumnLookup,0)))</f>
        <v>224947.42068232654</v>
      </c>
      <c r="R23" s="32">
        <f>Q23*(1+INDEX([1]!tbl_Forecast,MATCH($D$8&amp;$D23&amp;$D$7,[1]!rng_ForecastRowLookup,0),MATCH(R$11,[1]!rng_ForecastColumnLookup,0)))</f>
        <v>227576.87634459662</v>
      </c>
      <c r="S23" s="32">
        <f>R23*(1+INDEX([1]!tbl_Forecast,MATCH($D$8&amp;$D23&amp;$D$7,[1]!rng_ForecastRowLookup,0),MATCH(S$11,[1]!rng_ForecastColumnLookup,0)))</f>
        <v>232042.66395200894</v>
      </c>
      <c r="T23" s="32">
        <f>S23*(1+INDEX([1]!tbl_Forecast,MATCH($D$8&amp;$D23&amp;$D$7,[1]!rng_ForecastRowLookup,0),MATCH(T$11,[1]!rng_ForecastColumnLookup,0)))</f>
        <v>234839.74224137963</v>
      </c>
      <c r="U23" s="32">
        <f>T23*(1+INDEX([1]!tbl_Forecast,MATCH($D$8&amp;$D23&amp;$D$7,[1]!rng_ForecastRowLookup,0),MATCH(U$11,[1]!rng_ForecastColumnLookup,0)))</f>
        <v>237802.41674651366</v>
      </c>
      <c r="V23" s="32">
        <f>U23*(1+INDEX([1]!tbl_Forecast,MATCH($D$8&amp;$D23&amp;$D$7,[1]!rng_ForecastRowLookup,0),MATCH(V$11,[1]!rng_ForecastColumnLookup,0)))</f>
        <v>240774.11017363085</v>
      </c>
      <c r="W23" s="32">
        <f>V23*(1+INDEX([1]!tbl_Forecast,MATCH($D$8&amp;$D23&amp;$D$7,[1]!rng_ForecastRowLookup,0),MATCH(W$11,[1]!rng_ForecastColumnLookup,0)))</f>
        <v>243604.02842665813</v>
      </c>
      <c r="X23" s="32">
        <f>W23*(1+INDEX([1]!tbl_Forecast,MATCH($D$8&amp;$D23&amp;$D$7,[1]!rng_ForecastRowLookup,0),MATCH(X$11,[1]!rng_ForecastColumnLookup,0)))</f>
        <v>248706.57421284739</v>
      </c>
      <c r="Y23" s="302"/>
      <c r="AA23" s="41"/>
    </row>
    <row r="24" spans="2:27">
      <c r="B24" s="7" t="str">
        <f t="shared" si="1"/>
        <v>Alfalfa Hand LineOregon</v>
      </c>
      <c r="C24" s="7" t="s">
        <v>143</v>
      </c>
      <c r="D24" s="7" t="s">
        <v>135</v>
      </c>
      <c r="E24" s="32">
        <f>INDEX([2]SATS!$C$11:$F$21,MATCH($C24,[2]SATS!$B$11:$B$22,0),MATCH($D24,[2]SATS!$C$10:$F$10,0))</f>
        <v>62673.711991497425</v>
      </c>
      <c r="F24" s="32">
        <f>E24*(1+INDEX([1]!tbl_Forecast,MATCH($D$8&amp;$D24&amp;$D$7,[1]!rng_ForecastRowLookup,0),MATCH(F$11,[1]!rng_ForecastColumnLookup,0)))</f>
        <v>63307.39603367223</v>
      </c>
      <c r="G24" s="32">
        <f>F24*(1+INDEX([1]!tbl_Forecast,MATCH($D$8&amp;$D24&amp;$D$7,[1]!rng_ForecastRowLookup,0),MATCH(G$11,[1]!rng_ForecastColumnLookup,0)))</f>
        <v>63944.21890005577</v>
      </c>
      <c r="H24" s="32">
        <f>G24*(1+INDEX([1]!tbl_Forecast,MATCH($D$8&amp;$D24&amp;$D$7,[1]!rng_ForecastRowLookup,0),MATCH(H$11,[1]!rng_ForecastColumnLookup,0)))</f>
        <v>64658.914869451837</v>
      </c>
      <c r="I24" s="32">
        <f>H24*(1+INDEX([1]!tbl_Forecast,MATCH($D$8&amp;$D24&amp;$D$7,[1]!rng_ForecastRowLookup,0),MATCH(I$11,[1]!rng_ForecastColumnLookup,0)))</f>
        <v>65939.361995866799</v>
      </c>
      <c r="J24" s="32">
        <f>I24*(1+INDEX([1]!tbl_Forecast,MATCH($D$8&amp;$D24&amp;$D$7,[1]!rng_ForecastRowLookup,0),MATCH(J$11,[1]!rng_ForecastColumnLookup,0)))</f>
        <v>66735.832218230062</v>
      </c>
      <c r="K24" s="32">
        <f>J24*(1+INDEX([1]!tbl_Forecast,MATCH($D$8&amp;$D24&amp;$D$7,[1]!rng_ForecastRowLookup,0),MATCH(K$11,[1]!rng_ForecastColumnLookup,0)))</f>
        <v>67541.661881285821</v>
      </c>
      <c r="L24" s="32">
        <f>K24*(1+INDEX([1]!tbl_Forecast,MATCH($D$8&amp;$D24&amp;$D$7,[1]!rng_ForecastRowLookup,0),MATCH(L$11,[1]!rng_ForecastColumnLookup,0)))</f>
        <v>68407.749223585386</v>
      </c>
      <c r="M24" s="32">
        <f>L24*(1+INDEX([1]!tbl_Forecast,MATCH($D$8&amp;$D24&amp;$D$7,[1]!rng_ForecastRowLookup,0),MATCH(M$11,[1]!rng_ForecastColumnLookup,0)))</f>
        <v>69233.064510690092</v>
      </c>
      <c r="N24" s="32">
        <f>M24*(1+INDEX([1]!tbl_Forecast,MATCH($D$8&amp;$D24&amp;$D$7,[1]!rng_ForecastRowLookup,0),MATCH(N$11,[1]!rng_ForecastColumnLookup,0)))</f>
        <v>70711.871027528468</v>
      </c>
      <c r="O24" s="32">
        <f>N24*(1+INDEX([1]!tbl_Forecast,MATCH($D$8&amp;$D24&amp;$D$7,[1]!rng_ForecastRowLookup,0),MATCH(O$11,[1]!rng_ForecastColumnLookup,0)))</f>
        <v>71550.81644197143</v>
      </c>
      <c r="P24" s="32">
        <f>O24*(1+INDEX([1]!tbl_Forecast,MATCH($D$8&amp;$D24&amp;$D$7,[1]!rng_ForecastRowLookup,0),MATCH(P$11,[1]!rng_ForecastColumnLookup,0)))</f>
        <v>72395.960813656813</v>
      </c>
      <c r="Q24" s="32">
        <f>P24*(1+INDEX([1]!tbl_Forecast,MATCH($D$8&amp;$D24&amp;$D$7,[1]!rng_ForecastRowLookup,0),MATCH(Q$11,[1]!rng_ForecastColumnLookup,0)))</f>
        <v>73196.693677335381</v>
      </c>
      <c r="R24" s="32">
        <f>Q24*(1+INDEX([1]!tbl_Forecast,MATCH($D$8&amp;$D24&amp;$D$7,[1]!rng_ForecastRowLookup,0),MATCH(R$11,[1]!rng_ForecastColumnLookup,0)))</f>
        <v>74052.304557715834</v>
      </c>
      <c r="S24" s="32">
        <f>R24*(1+INDEX([1]!tbl_Forecast,MATCH($D$8&amp;$D24&amp;$D$7,[1]!rng_ForecastRowLookup,0),MATCH(S$11,[1]!rng_ForecastColumnLookup,0)))</f>
        <v>75505.448081372524</v>
      </c>
      <c r="T24" s="32">
        <f>S24*(1+INDEX([1]!tbl_Forecast,MATCH($D$8&amp;$D24&amp;$D$7,[1]!rng_ForecastRowLookup,0),MATCH(T$11,[1]!rng_ForecastColumnLookup,0)))</f>
        <v>76415.602472641243</v>
      </c>
      <c r="U24" s="32">
        <f>T24*(1+INDEX([1]!tbl_Forecast,MATCH($D$8&amp;$D24&amp;$D$7,[1]!rng_ForecastRowLookup,0),MATCH(U$11,[1]!rng_ForecastColumnLookup,0)))</f>
        <v>77379.640991332228</v>
      </c>
      <c r="V24" s="32">
        <f>U24*(1+INDEX([1]!tbl_Forecast,MATCH($D$8&amp;$D24&amp;$D$7,[1]!rng_ForecastRowLookup,0),MATCH(V$11,[1]!rng_ForecastColumnLookup,0)))</f>
        <v>78346.614219244133</v>
      </c>
      <c r="W24" s="32">
        <f>V24*(1+INDEX([1]!tbl_Forecast,MATCH($D$8&amp;$D24&amp;$D$7,[1]!rng_ForecastRowLookup,0),MATCH(W$11,[1]!rng_ForecastColumnLookup,0)))</f>
        <v>79267.454559935402</v>
      </c>
      <c r="X24" s="32">
        <f>W24*(1+INDEX([1]!tbl_Forecast,MATCH($D$8&amp;$D24&amp;$D$7,[1]!rng_ForecastRowLookup,0),MATCH(X$11,[1]!rng_ForecastColumnLookup,0)))</f>
        <v>80927.795806584865</v>
      </c>
      <c r="Y24" s="302"/>
      <c r="AA24" s="41"/>
    </row>
    <row r="25" spans="2:27">
      <c r="B25" s="7" t="str">
        <f t="shared" si="1"/>
        <v>CenterPivot High PWashington</v>
      </c>
      <c r="C25" s="7" t="s">
        <v>144</v>
      </c>
      <c r="D25" s="7" t="s">
        <v>136</v>
      </c>
      <c r="E25" s="32">
        <f>INDEX([2]SATS!$C$11:$F$21,MATCH($C25,[2]SATS!$B$11:$B$22,0),MATCH($D25,[2]SATS!$C$10:$F$10,0))</f>
        <v>114933</v>
      </c>
      <c r="F25" s="32">
        <f>E25*(1+INDEX([1]!tbl_Forecast,MATCH($D$8&amp;$D25&amp;$D$7,[1]!rng_ForecastRowLookup,0),MATCH(F$11,[1]!rng_ForecastColumnLookup,0)))</f>
        <v>116158.4296915275</v>
      </c>
      <c r="G25" s="32">
        <f>F25*(1+INDEX([1]!tbl_Forecast,MATCH($D$8&amp;$D25&amp;$D$7,[1]!rng_ForecastRowLookup,0),MATCH(G$11,[1]!rng_ForecastColumnLookup,0)))</f>
        <v>117428.187560226</v>
      </c>
      <c r="H25" s="32">
        <f>G25*(1+INDEX([1]!tbl_Forecast,MATCH($D$8&amp;$D25&amp;$D$7,[1]!rng_ForecastRowLookup,0),MATCH(H$11,[1]!rng_ForecastColumnLookup,0)))</f>
        <v>118740.30212318414</v>
      </c>
      <c r="I25" s="32">
        <f>H25*(1+INDEX([1]!tbl_Forecast,MATCH($D$8&amp;$D25&amp;$D$7,[1]!rng_ForecastRowLookup,0),MATCH(I$11,[1]!rng_ForecastColumnLookup,0)))</f>
        <v>120891.21134128001</v>
      </c>
      <c r="J25" s="32">
        <f>I25*(1+INDEX([1]!tbl_Forecast,MATCH($D$8&amp;$D25&amp;$D$7,[1]!rng_ForecastRowLookup,0),MATCH(J$11,[1]!rng_ForecastColumnLookup,0)))</f>
        <v>122390.26105773625</v>
      </c>
      <c r="K25" s="32">
        <f>J25*(1+INDEX([1]!tbl_Forecast,MATCH($D$8&amp;$D25&amp;$D$7,[1]!rng_ForecastRowLookup,0),MATCH(K$11,[1]!rng_ForecastColumnLookup,0)))</f>
        <v>123851.58400178679</v>
      </c>
      <c r="L25" s="32">
        <f>K25*(1+INDEX([1]!tbl_Forecast,MATCH($D$8&amp;$D25&amp;$D$7,[1]!rng_ForecastRowLookup,0),MATCH(L$11,[1]!rng_ForecastColumnLookup,0)))</f>
        <v>125373.50754634739</v>
      </c>
      <c r="M25" s="32">
        <f>L25*(1+INDEX([1]!tbl_Forecast,MATCH($D$8&amp;$D25&amp;$D$7,[1]!rng_ForecastRowLookup,0),MATCH(M$11,[1]!rng_ForecastColumnLookup,0)))</f>
        <v>126858.20898890324</v>
      </c>
      <c r="N25" s="32">
        <f>M25*(1+INDEX([1]!tbl_Forecast,MATCH($D$8&amp;$D25&amp;$D$7,[1]!rng_ForecastRowLookup,0),MATCH(N$11,[1]!rng_ForecastColumnLookup,0)))</f>
        <v>129355.05228073131</v>
      </c>
      <c r="O25" s="32">
        <f>N25*(1+INDEX([1]!tbl_Forecast,MATCH($D$8&amp;$D25&amp;$D$7,[1]!rng_ForecastRowLookup,0),MATCH(O$11,[1]!rng_ForecastColumnLookup,0)))</f>
        <v>130854.56644359035</v>
      </c>
      <c r="P25" s="32">
        <f>O25*(1+INDEX([1]!tbl_Forecast,MATCH($D$8&amp;$D25&amp;$D$7,[1]!rng_ForecastRowLookup,0),MATCH(P$11,[1]!rng_ForecastColumnLookup,0)))</f>
        <v>132313.31274009455</v>
      </c>
      <c r="Q25" s="32">
        <f>P25*(1+INDEX([1]!tbl_Forecast,MATCH($D$8&amp;$D25&amp;$D$7,[1]!rng_ForecastRowLookup,0),MATCH(Q$11,[1]!rng_ForecastColumnLookup,0)))</f>
        <v>133825.12266911202</v>
      </c>
      <c r="R25" s="32">
        <f>Q25*(1+INDEX([1]!tbl_Forecast,MATCH($D$8&amp;$D25&amp;$D$7,[1]!rng_ForecastRowLookup,0),MATCH(R$11,[1]!rng_ForecastColumnLookup,0)))</f>
        <v>135295.30004475595</v>
      </c>
      <c r="S25" s="32">
        <f>R25*(1+INDEX([1]!tbl_Forecast,MATCH($D$8&amp;$D25&amp;$D$7,[1]!rng_ForecastRowLookup,0),MATCH(S$11,[1]!rng_ForecastColumnLookup,0)))</f>
        <v>137721.17567423565</v>
      </c>
      <c r="T25" s="32">
        <f>S25*(1+INDEX([1]!tbl_Forecast,MATCH($D$8&amp;$D25&amp;$D$7,[1]!rng_ForecastRowLookup,0),MATCH(T$11,[1]!rng_ForecastColumnLookup,0)))</f>
        <v>139337.52034174016</v>
      </c>
      <c r="U25" s="32">
        <f>T25*(1+INDEX([1]!tbl_Forecast,MATCH($D$8&amp;$D25&amp;$D$7,[1]!rng_ForecastRowLookup,0),MATCH(U$11,[1]!rng_ForecastColumnLookup,0)))</f>
        <v>141007.07582976439</v>
      </c>
      <c r="V25" s="32">
        <f>U25*(1+INDEX([1]!tbl_Forecast,MATCH($D$8&amp;$D25&amp;$D$7,[1]!rng_ForecastRowLookup,0),MATCH(V$11,[1]!rng_ForecastColumnLookup,0)))</f>
        <v>142679.7897713166</v>
      </c>
      <c r="W25" s="32">
        <f>V25*(1+INDEX([1]!tbl_Forecast,MATCH($D$8&amp;$D25&amp;$D$7,[1]!rng_ForecastRowLookup,0),MATCH(W$11,[1]!rng_ForecastColumnLookup,0)))</f>
        <v>144308.91236712388</v>
      </c>
      <c r="X25" s="32">
        <f>W25*(1+INDEX([1]!tbl_Forecast,MATCH($D$8&amp;$D25&amp;$D$7,[1]!rng_ForecastRowLookup,0),MATCH(X$11,[1]!rng_ForecastColumnLookup,0)))</f>
        <v>147027.42641401503</v>
      </c>
      <c r="Y25" s="302"/>
      <c r="AA25" s="41"/>
    </row>
    <row r="26" spans="2:27">
      <c r="B26" s="7" t="str">
        <f t="shared" si="1"/>
        <v>CenterPivot Med PWashington</v>
      </c>
      <c r="C26" s="7" t="s">
        <v>145</v>
      </c>
      <c r="D26" s="7" t="s">
        <v>136</v>
      </c>
      <c r="E26" s="32">
        <f>INDEX([2]SATS!$C$11:$F$21,MATCH($C26,[2]SATS!$B$11:$B$22,0),MATCH($D26,[2]SATS!$C$10:$F$10,0))</f>
        <v>426619</v>
      </c>
      <c r="F26" s="32">
        <f>E26*(1+INDEX([1]!tbl_Forecast,MATCH($D$8&amp;$D26&amp;$D$7,[1]!rng_ForecastRowLookup,0),MATCH(F$11,[1]!rng_ForecastColumnLookup,0)))</f>
        <v>431167.66391349543</v>
      </c>
      <c r="G26" s="32">
        <f>F26*(1+INDEX([1]!tbl_Forecast,MATCH($D$8&amp;$D26&amp;$D$7,[1]!rng_ForecastRowLookup,0),MATCH(G$11,[1]!rng_ForecastColumnLookup,0)))</f>
        <v>435880.86927824083</v>
      </c>
      <c r="H26" s="32">
        <f>G26*(1+INDEX([1]!tbl_Forecast,MATCH($D$8&amp;$D26&amp;$D$7,[1]!rng_ForecastRowLookup,0),MATCH(H$11,[1]!rng_ForecastColumnLookup,0)))</f>
        <v>440751.29816058656</v>
      </c>
      <c r="I26" s="32">
        <f>H26*(1+INDEX([1]!tbl_Forecast,MATCH($D$8&amp;$D26&amp;$D$7,[1]!rng_ForecastRowLookup,0),MATCH(I$11,[1]!rng_ForecastColumnLookup,0)))</f>
        <v>448735.24306513823</v>
      </c>
      <c r="J26" s="32">
        <f>I26*(1+INDEX([1]!tbl_Forecast,MATCH($D$8&amp;$D26&amp;$D$7,[1]!rng_ForecastRowLookup,0),MATCH(J$11,[1]!rng_ForecastColumnLookup,0)))</f>
        <v>454299.55523818551</v>
      </c>
      <c r="K26" s="32">
        <f>J26*(1+INDEX([1]!tbl_Forecast,MATCH($D$8&amp;$D26&amp;$D$7,[1]!rng_ForecastRowLookup,0),MATCH(K$11,[1]!rng_ForecastColumnLookup,0)))</f>
        <v>459723.82966822642</v>
      </c>
      <c r="L26" s="32">
        <f>K26*(1+INDEX([1]!tbl_Forecast,MATCH($D$8&amp;$D26&amp;$D$7,[1]!rng_ForecastRowLookup,0),MATCH(L$11,[1]!rng_ForecastColumnLookup,0)))</f>
        <v>465373.04704406188</v>
      </c>
      <c r="M26" s="32">
        <f>L26*(1+INDEX([1]!tbl_Forecast,MATCH($D$8&amp;$D26&amp;$D$7,[1]!rng_ForecastRowLookup,0),MATCH(M$11,[1]!rng_ForecastColumnLookup,0)))</f>
        <v>470884.09995942767</v>
      </c>
      <c r="N26" s="32">
        <f>M26*(1+INDEX([1]!tbl_Forecast,MATCH($D$8&amp;$D26&amp;$D$7,[1]!rng_ForecastRowLookup,0),MATCH(N$11,[1]!rng_ForecastColumnLookup,0)))</f>
        <v>480152.11513623851</v>
      </c>
      <c r="O26" s="32">
        <f>N26*(1+INDEX([1]!tbl_Forecast,MATCH($D$8&amp;$D26&amp;$D$7,[1]!rng_ForecastRowLookup,0),MATCH(O$11,[1]!rng_ForecastColumnLookup,0)))</f>
        <v>485718.15128464461</v>
      </c>
      <c r="P26" s="32">
        <f>O26*(1+INDEX([1]!tbl_Forecast,MATCH($D$8&amp;$D26&amp;$D$7,[1]!rng_ForecastRowLookup,0),MATCH(P$11,[1]!rng_ForecastColumnLookup,0)))</f>
        <v>491132.86147465388</v>
      </c>
      <c r="Q26" s="32">
        <f>P26*(1+INDEX([1]!tbl_Forecast,MATCH($D$8&amp;$D26&amp;$D$7,[1]!rng_ForecastRowLookup,0),MATCH(Q$11,[1]!rng_ForecastColumnLookup,0)))</f>
        <v>496744.53819158894</v>
      </c>
      <c r="R26" s="32">
        <f>Q26*(1+INDEX([1]!tbl_Forecast,MATCH($D$8&amp;$D26&amp;$D$7,[1]!rng_ForecastRowLookup,0),MATCH(R$11,[1]!rng_ForecastColumnLookup,0)))</f>
        <v>502201.67932442139</v>
      </c>
      <c r="S26" s="32">
        <f>R26*(1+INDEX([1]!tbl_Forecast,MATCH($D$8&amp;$D26&amp;$D$7,[1]!rng_ForecastRowLookup,0),MATCH(S$11,[1]!rng_ForecastColumnLookup,0)))</f>
        <v>511206.27013100439</v>
      </c>
      <c r="T26" s="32">
        <f>S26*(1+INDEX([1]!tbl_Forecast,MATCH($D$8&amp;$D26&amp;$D$7,[1]!rng_ForecastRowLookup,0),MATCH(T$11,[1]!rng_ForecastColumnLookup,0)))</f>
        <v>517205.96861365176</v>
      </c>
      <c r="U26" s="32">
        <f>T26*(1+INDEX([1]!tbl_Forecast,MATCH($D$8&amp;$D26&amp;$D$7,[1]!rng_ForecastRowLookup,0),MATCH(U$11,[1]!rng_ForecastColumnLookup,0)))</f>
        <v>523403.17996935814</v>
      </c>
      <c r="V26" s="32">
        <f>U26*(1+INDEX([1]!tbl_Forecast,MATCH($D$8&amp;$D26&amp;$D$7,[1]!rng_ForecastRowLookup,0),MATCH(V$11,[1]!rng_ForecastColumnLookup,0)))</f>
        <v>529612.11516665632</v>
      </c>
      <c r="W26" s="32">
        <f>V26*(1+INDEX([1]!tbl_Forecast,MATCH($D$8&amp;$D26&amp;$D$7,[1]!rng_ForecastRowLookup,0),MATCH(W$11,[1]!rng_ForecastColumnLookup,0)))</f>
        <v>535659.2439521288</v>
      </c>
      <c r="X26" s="32">
        <f>W26*(1+INDEX([1]!tbl_Forecast,MATCH($D$8&amp;$D26&amp;$D$7,[1]!rng_ForecastRowLookup,0),MATCH(X$11,[1]!rng_ForecastColumnLookup,0)))</f>
        <v>545750.07725649455</v>
      </c>
      <c r="Y26" s="302"/>
      <c r="AA26" s="41"/>
    </row>
    <row r="27" spans="2:27">
      <c r="B27" s="7" t="str">
        <f t="shared" si="1"/>
        <v>Alfalfa Wheel LineWashington</v>
      </c>
      <c r="C27" s="7" t="s">
        <v>142</v>
      </c>
      <c r="D27" s="7" t="s">
        <v>136</v>
      </c>
      <c r="E27" s="32">
        <f>INDEX([2]SATS!$C$11:$F$21,MATCH($C27,[2]SATS!$B$11:$B$22,0),MATCH($D27,[2]SATS!$C$10:$F$10,0))</f>
        <v>202062.53498854444</v>
      </c>
      <c r="F27" s="32">
        <f>E27*(1+INDEX([1]!tbl_Forecast,MATCH($D$8&amp;$D27&amp;$D$7,[1]!rng_ForecastRowLookup,0),MATCH(F$11,[1]!rng_ForecastColumnLookup,0)))</f>
        <v>204216.95042989095</v>
      </c>
      <c r="G27" s="32">
        <f>F27*(1+INDEX([1]!tbl_Forecast,MATCH($D$8&amp;$D27&amp;$D$7,[1]!rng_ForecastRowLookup,0),MATCH(G$11,[1]!rng_ForecastColumnLookup,0)))</f>
        <v>206449.29878737635</v>
      </c>
      <c r="H27" s="32">
        <f>G27*(1+INDEX([1]!tbl_Forecast,MATCH($D$8&amp;$D27&amp;$D$7,[1]!rng_ForecastRowLookup,0),MATCH(H$11,[1]!rng_ForecastColumnLookup,0)))</f>
        <v>208756.11401700324</v>
      </c>
      <c r="I27" s="32">
        <f>H27*(1+INDEX([1]!tbl_Forecast,MATCH($D$8&amp;$D27&amp;$D$7,[1]!rng_ForecastRowLookup,0),MATCH(I$11,[1]!rng_ForecastColumnLookup,0)))</f>
        <v>212537.60557415982</v>
      </c>
      <c r="J27" s="32">
        <f>I27*(1+INDEX([1]!tbl_Forecast,MATCH($D$8&amp;$D27&amp;$D$7,[1]!rng_ForecastRowLookup,0),MATCH(J$11,[1]!rng_ForecastColumnLookup,0)))</f>
        <v>215173.06959042154</v>
      </c>
      <c r="K27" s="32">
        <f>J27*(1+INDEX([1]!tbl_Forecast,MATCH($D$8&amp;$D27&amp;$D$7,[1]!rng_ForecastRowLookup,0),MATCH(K$11,[1]!rng_ForecastColumnLookup,0)))</f>
        <v>217742.20655292817</v>
      </c>
      <c r="L27" s="32">
        <f>K27*(1+INDEX([1]!tbl_Forecast,MATCH($D$8&amp;$D27&amp;$D$7,[1]!rng_ForecastRowLookup,0),MATCH(L$11,[1]!rng_ForecastColumnLookup,0)))</f>
        <v>220417.88481306811</v>
      </c>
      <c r="M27" s="32">
        <f>L27*(1+INDEX([1]!tbl_Forecast,MATCH($D$8&amp;$D27&amp;$D$7,[1]!rng_ForecastRowLookup,0),MATCH(M$11,[1]!rng_ForecastColumnLookup,0)))</f>
        <v>223028.1232753373</v>
      </c>
      <c r="N27" s="32">
        <f>M27*(1+INDEX([1]!tbl_Forecast,MATCH($D$8&amp;$D27&amp;$D$7,[1]!rng_ForecastRowLookup,0),MATCH(N$11,[1]!rng_ForecastColumnLookup,0)))</f>
        <v>227417.79799901042</v>
      </c>
      <c r="O27" s="32">
        <f>N27*(1+INDEX([1]!tbl_Forecast,MATCH($D$8&amp;$D27&amp;$D$7,[1]!rng_ForecastRowLookup,0),MATCH(O$11,[1]!rng_ForecastColumnLookup,0)))</f>
        <v>230054.07855375556</v>
      </c>
      <c r="P27" s="32">
        <f>O27*(1+INDEX([1]!tbl_Forecast,MATCH($D$8&amp;$D27&amp;$D$7,[1]!rng_ForecastRowLookup,0),MATCH(P$11,[1]!rng_ForecastColumnLookup,0)))</f>
        <v>232618.68553849269</v>
      </c>
      <c r="Q27" s="32">
        <f>P27*(1+INDEX([1]!tbl_Forecast,MATCH($D$8&amp;$D27&amp;$D$7,[1]!rng_ForecastRowLookup,0),MATCH(Q$11,[1]!rng_ForecastColumnLookup,0)))</f>
        <v>235276.58315430468</v>
      </c>
      <c r="R27" s="32">
        <f>Q27*(1+INDEX([1]!tbl_Forecast,MATCH($D$8&amp;$D27&amp;$D$7,[1]!rng_ForecastRowLookup,0),MATCH(R$11,[1]!rng_ForecastColumnLookup,0)))</f>
        <v>237861.28700268082</v>
      </c>
      <c r="S27" s="32">
        <f>R27*(1+INDEX([1]!tbl_Forecast,MATCH($D$8&amp;$D27&amp;$D$7,[1]!rng_ForecastRowLookup,0),MATCH(S$11,[1]!rng_ForecastColumnLookup,0)))</f>
        <v>242126.19420304627</v>
      </c>
      <c r="T27" s="32">
        <f>S27*(1+INDEX([1]!tbl_Forecast,MATCH($D$8&amp;$D27&amp;$D$7,[1]!rng_ForecastRowLookup,0),MATCH(T$11,[1]!rng_ForecastColumnLookup,0)))</f>
        <v>244967.8732763427</v>
      </c>
      <c r="U27" s="32">
        <f>T27*(1+INDEX([1]!tbl_Forecast,MATCH($D$8&amp;$D27&amp;$D$7,[1]!rng_ForecastRowLookup,0),MATCH(U$11,[1]!rng_ForecastColumnLookup,0)))</f>
        <v>247903.1017504468</v>
      </c>
      <c r="V27" s="32">
        <f>U27*(1+INDEX([1]!tbl_Forecast,MATCH($D$8&amp;$D27&amp;$D$7,[1]!rng_ForecastRowLookup,0),MATCH(V$11,[1]!rng_ForecastColumnLookup,0)))</f>
        <v>250843.88306948243</v>
      </c>
      <c r="W27" s="32">
        <f>V27*(1+INDEX([1]!tbl_Forecast,MATCH($D$8&amp;$D27&amp;$D$7,[1]!rng_ForecastRowLookup,0),MATCH(W$11,[1]!rng_ForecastColumnLookup,0)))</f>
        <v>253708.02688819365</v>
      </c>
      <c r="X27" s="32">
        <f>W27*(1+INDEX([1]!tbl_Forecast,MATCH($D$8&amp;$D27&amp;$D$7,[1]!rng_ForecastRowLookup,0),MATCH(X$11,[1]!rng_ForecastColumnLookup,0)))</f>
        <v>258487.41870531143</v>
      </c>
      <c r="Y27" s="302"/>
      <c r="AA27" s="41"/>
    </row>
    <row r="28" spans="2:27">
      <c r="B28" s="7" t="str">
        <f t="shared" si="1"/>
        <v>Alfalfa Hand LineWashington</v>
      </c>
      <c r="C28" s="7" t="s">
        <v>143</v>
      </c>
      <c r="D28" s="7" t="s">
        <v>136</v>
      </c>
      <c r="E28" s="32">
        <f>INDEX([2]SATS!$C$11:$F$21,MATCH($C28,[2]SATS!$B$11:$B$22,0),MATCH($D28,[2]SATS!$C$10:$F$10,0))</f>
        <v>55251.465011455555</v>
      </c>
      <c r="F28" s="32">
        <f>E28*(1+INDEX([1]!tbl_Forecast,MATCH($D$8&amp;$D28&amp;$D$7,[1]!rng_ForecastRowLookup,0),MATCH(F$11,[1]!rng_ForecastColumnLookup,0)))</f>
        <v>55840.562883480394</v>
      </c>
      <c r="G28" s="32">
        <f>F28*(1+INDEX([1]!tbl_Forecast,MATCH($D$8&amp;$D28&amp;$D$7,[1]!rng_ForecastRowLookup,0),MATCH(G$11,[1]!rng_ForecastColumnLookup,0)))</f>
        <v>56450.970533636704</v>
      </c>
      <c r="H28" s="32">
        <f>G28*(1+INDEX([1]!tbl_Forecast,MATCH($D$8&amp;$D28&amp;$D$7,[1]!rng_ForecastRowLookup,0),MATCH(H$11,[1]!rng_ForecastColumnLookup,0)))</f>
        <v>57081.740215680184</v>
      </c>
      <c r="I28" s="32">
        <f>H28*(1+INDEX([1]!tbl_Forecast,MATCH($D$8&amp;$D28&amp;$D$7,[1]!rng_ForecastRowLookup,0),MATCH(I$11,[1]!rng_ForecastColumnLookup,0)))</f>
        <v>58115.741637434083</v>
      </c>
      <c r="J28" s="32">
        <f>I28*(1+INDEX([1]!tbl_Forecast,MATCH($D$8&amp;$D28&amp;$D$7,[1]!rng_ForecastRowLookup,0),MATCH(J$11,[1]!rng_ForecastColumnLookup,0)))</f>
        <v>58836.376206785048</v>
      </c>
      <c r="K28" s="32">
        <f>J28*(1+INDEX([1]!tbl_Forecast,MATCH($D$8&amp;$D28&amp;$D$7,[1]!rng_ForecastRowLookup,0),MATCH(K$11,[1]!rng_ForecastColumnLookup,0)))</f>
        <v>59538.874475460238</v>
      </c>
      <c r="L28" s="32">
        <f>K28*(1+INDEX([1]!tbl_Forecast,MATCH($D$8&amp;$D28&amp;$D$7,[1]!rng_ForecastRowLookup,0),MATCH(L$11,[1]!rng_ForecastColumnLookup,0)))</f>
        <v>60270.505125250987</v>
      </c>
      <c r="M28" s="32">
        <f>L28*(1+INDEX([1]!tbl_Forecast,MATCH($D$8&amp;$D28&amp;$D$7,[1]!rng_ForecastRowLookup,0),MATCH(M$11,[1]!rng_ForecastColumnLookup,0)))</f>
        <v>60984.242083355552</v>
      </c>
      <c r="N28" s="32">
        <f>M28*(1+INDEX([1]!tbl_Forecast,MATCH($D$8&amp;$D28&amp;$D$7,[1]!rng_ForecastRowLookup,0),MATCH(N$11,[1]!rng_ForecastColumnLookup,0)))</f>
        <v>62184.54356141256</v>
      </c>
      <c r="O28" s="32">
        <f>N28*(1+INDEX([1]!tbl_Forecast,MATCH($D$8&amp;$D28&amp;$D$7,[1]!rng_ForecastRowLookup,0),MATCH(O$11,[1]!rng_ForecastColumnLookup,0)))</f>
        <v>62905.401402967102</v>
      </c>
      <c r="P28" s="32">
        <f>O28*(1+INDEX([1]!tbl_Forecast,MATCH($D$8&amp;$D28&amp;$D$7,[1]!rng_ForecastRowLookup,0),MATCH(P$11,[1]!rng_ForecastColumnLookup,0)))</f>
        <v>63606.661006056667</v>
      </c>
      <c r="Q28" s="32">
        <f>P28*(1+INDEX([1]!tbl_Forecast,MATCH($D$8&amp;$D28&amp;$D$7,[1]!rng_ForecastRowLookup,0),MATCH(Q$11,[1]!rng_ForecastColumnLookup,0)))</f>
        <v>64333.429761741107</v>
      </c>
      <c r="R28" s="32">
        <f>Q28*(1+INDEX([1]!tbl_Forecast,MATCH($D$8&amp;$D28&amp;$D$7,[1]!rng_ForecastRowLookup,0),MATCH(R$11,[1]!rng_ForecastColumnLookup,0)))</f>
        <v>65040.184600047105</v>
      </c>
      <c r="S28" s="32">
        <f>R28*(1+INDEX([1]!tbl_Forecast,MATCH($D$8&amp;$D28&amp;$D$7,[1]!rng_ForecastRowLookup,0),MATCH(S$11,[1]!rng_ForecastColumnLookup,0)))</f>
        <v>66206.369964253565</v>
      </c>
      <c r="T28" s="32">
        <f>S28*(1+INDEX([1]!tbl_Forecast,MATCH($D$8&amp;$D28&amp;$D$7,[1]!rng_ForecastRowLookup,0),MATCH(T$11,[1]!rng_ForecastColumnLookup,0)))</f>
        <v>66983.391453669814</v>
      </c>
      <c r="U28" s="32">
        <f>T28*(1+INDEX([1]!tbl_Forecast,MATCH($D$8&amp;$D28&amp;$D$7,[1]!rng_ForecastRowLookup,0),MATCH(U$11,[1]!rng_ForecastColumnLookup,0)))</f>
        <v>67785.992853017728</v>
      </c>
      <c r="V28" s="32">
        <f>U28*(1+INDEX([1]!tbl_Forecast,MATCH($D$8&amp;$D28&amp;$D$7,[1]!rng_ForecastRowLookup,0),MATCH(V$11,[1]!rng_ForecastColumnLookup,0)))</f>
        <v>68590.112608143289</v>
      </c>
      <c r="W28" s="32">
        <f>V28*(1+INDEX([1]!tbl_Forecast,MATCH($D$8&amp;$D28&amp;$D$7,[1]!rng_ForecastRowLookup,0),MATCH(W$11,[1]!rng_ForecastColumnLookup,0)))</f>
        <v>69373.276800338892</v>
      </c>
      <c r="X28" s="32">
        <f>W28*(1+INDEX([1]!tbl_Forecast,MATCH($D$8&amp;$D28&amp;$D$7,[1]!rng_ForecastRowLookup,0),MATCH(X$11,[1]!rng_ForecastColumnLookup,0)))</f>
        <v>70680.141528005945</v>
      </c>
      <c r="Y28" s="302"/>
      <c r="AA28" s="41"/>
    </row>
    <row r="29" spans="2:27">
      <c r="E29" s="32"/>
      <c r="F29" s="32"/>
      <c r="G29" s="32"/>
      <c r="H29" s="32"/>
      <c r="I29" s="32"/>
      <c r="J29" s="32"/>
      <c r="K29" s="32"/>
      <c r="L29" s="32"/>
      <c r="M29" s="32"/>
      <c r="N29" s="32"/>
      <c r="O29" s="32"/>
      <c r="P29" s="32"/>
      <c r="Q29" s="32"/>
      <c r="R29" s="32"/>
      <c r="S29" s="32"/>
      <c r="T29" s="32"/>
      <c r="U29" s="32"/>
      <c r="V29" s="32"/>
      <c r="W29" s="32"/>
      <c r="X29" s="32"/>
      <c r="Y29" s="32"/>
    </row>
    <row r="30" spans="2:27">
      <c r="B30" s="7" t="s">
        <v>141</v>
      </c>
      <c r="C30" s="7" t="s">
        <v>29</v>
      </c>
      <c r="E30" s="32">
        <f>SUM(E13:E28)</f>
        <v>3772231.7037276034</v>
      </c>
      <c r="F30" s="32">
        <f t="shared" ref="F30:X30" si="2">SUM(F13:F28)</f>
        <v>3788441.9588176408</v>
      </c>
      <c r="G30" s="32">
        <f t="shared" si="2"/>
        <v>3805081.9780722093</v>
      </c>
      <c r="H30" s="32">
        <f t="shared" si="2"/>
        <v>3823779.38465583</v>
      </c>
      <c r="I30" s="32">
        <f t="shared" si="2"/>
        <v>3854315.7009686693</v>
      </c>
      <c r="J30" s="32">
        <f t="shared" si="2"/>
        <v>3875857.6535391784</v>
      </c>
      <c r="K30" s="32">
        <f t="shared" si="2"/>
        <v>3897578.6254216838</v>
      </c>
      <c r="L30" s="32">
        <f t="shared" si="2"/>
        <v>3920723.4069357072</v>
      </c>
      <c r="M30" s="32">
        <f t="shared" si="2"/>
        <v>3943597.1443054453</v>
      </c>
      <c r="N30" s="32">
        <f t="shared" si="2"/>
        <v>3980068.7210336109</v>
      </c>
      <c r="O30" s="32">
        <f t="shared" si="2"/>
        <v>4003798.3450204087</v>
      </c>
      <c r="P30" s="32">
        <f t="shared" si="2"/>
        <v>4027585.6793171391</v>
      </c>
      <c r="Q30" s="32">
        <f t="shared" si="2"/>
        <v>4051564.7159418878</v>
      </c>
      <c r="R30" s="32">
        <f t="shared" si="2"/>
        <v>4076028.5784400054</v>
      </c>
      <c r="S30" s="32">
        <f t="shared" si="2"/>
        <v>4113046.9003593763</v>
      </c>
      <c r="T30" s="32">
        <f t="shared" si="2"/>
        <v>4139396.2422903525</v>
      </c>
      <c r="U30" s="32">
        <f t="shared" si="2"/>
        <v>4166861.666901431</v>
      </c>
      <c r="V30" s="32">
        <f t="shared" si="2"/>
        <v>4194560.2157937139</v>
      </c>
      <c r="W30" s="32">
        <f t="shared" si="2"/>
        <v>4221706.1675211908</v>
      </c>
      <c r="X30" s="32">
        <f t="shared" si="2"/>
        <v>4263603.443556698</v>
      </c>
      <c r="Y30" s="32"/>
      <c r="AA30" s="41"/>
    </row>
    <row r="31" spans="2:27">
      <c r="D31" s="32"/>
      <c r="E31" s="32"/>
      <c r="F31" s="32"/>
      <c r="G31" s="32"/>
      <c r="H31" s="32"/>
      <c r="I31" s="32"/>
      <c r="J31" s="32"/>
      <c r="K31" s="32"/>
      <c r="L31" s="32"/>
      <c r="M31" s="32"/>
      <c r="N31" s="32"/>
      <c r="O31" s="32"/>
      <c r="P31" s="32"/>
      <c r="Q31" s="32"/>
      <c r="R31" s="32"/>
      <c r="S31" s="32"/>
      <c r="T31" s="32"/>
      <c r="U31" s="32"/>
      <c r="V31" s="32"/>
      <c r="W31" s="32"/>
      <c r="X31" s="32"/>
    </row>
    <row r="32" spans="2:27">
      <c r="D32" s="32"/>
      <c r="E32" s="32"/>
      <c r="F32" s="32"/>
      <c r="G32" s="32"/>
      <c r="H32" s="32"/>
      <c r="I32" s="32"/>
      <c r="J32" s="32"/>
      <c r="K32" s="32"/>
      <c r="L32" s="32"/>
      <c r="M32" s="32"/>
      <c r="N32" s="32"/>
      <c r="O32" s="32"/>
      <c r="P32" s="32"/>
      <c r="Q32" s="32"/>
      <c r="R32" s="32"/>
      <c r="S32" s="32"/>
      <c r="T32" s="32"/>
      <c r="U32" s="32"/>
      <c r="V32" s="32"/>
      <c r="W32" s="32"/>
      <c r="X32" s="32"/>
    </row>
    <row r="33" spans="1:27" ht="15">
      <c r="A33" s="49" t="str">
        <f>CONCATENATE("# ACRES APPLICABLE BY YEAR FOR MEASURE - ",C34)</f>
        <v># ACRES APPLICABLE BY YEAR FOR MEASURE - Irrigation Pressure - Retro</v>
      </c>
      <c r="B33" s="49"/>
      <c r="D33" s="32"/>
      <c r="E33" s="32"/>
      <c r="F33" s="32"/>
      <c r="G33" s="32"/>
      <c r="H33" s="32"/>
      <c r="I33" s="32"/>
      <c r="J33" s="32"/>
      <c r="K33" s="32"/>
      <c r="L33" s="32"/>
      <c r="M33" s="32"/>
      <c r="N33" s="32"/>
      <c r="O33" s="32"/>
      <c r="P33" s="32"/>
      <c r="Q33" s="32"/>
      <c r="R33" s="32"/>
      <c r="S33" s="32"/>
      <c r="T33" s="32"/>
      <c r="U33" s="32"/>
      <c r="V33" s="32"/>
      <c r="W33" s="32"/>
      <c r="X33" s="32"/>
      <c r="AA33" s="40">
        <v>0.85</v>
      </c>
    </row>
    <row r="34" spans="1:27" ht="15">
      <c r="A34" s="57" t="s">
        <v>30</v>
      </c>
      <c r="B34" s="57"/>
      <c r="C34" s="57" t="str">
        <f>CONCATENATE(C8," - ",C7)</f>
        <v>Irrigation Pressure - Retro</v>
      </c>
      <c r="D34" s="7">
        <v>2</v>
      </c>
      <c r="E34" s="7">
        <v>3</v>
      </c>
      <c r="F34" s="7">
        <v>4</v>
      </c>
      <c r="G34" s="7">
        <v>5</v>
      </c>
      <c r="H34" s="7">
        <v>6</v>
      </c>
      <c r="I34" s="7">
        <v>7</v>
      </c>
      <c r="J34" s="7">
        <v>8</v>
      </c>
      <c r="K34" s="7">
        <v>9</v>
      </c>
      <c r="L34" s="7">
        <v>10</v>
      </c>
      <c r="M34" s="7">
        <v>11</v>
      </c>
      <c r="N34" s="7">
        <v>12</v>
      </c>
      <c r="O34" s="7">
        <v>13</v>
      </c>
      <c r="P34" s="7">
        <v>14</v>
      </c>
      <c r="Q34" s="7">
        <v>15</v>
      </c>
      <c r="R34" s="7">
        <v>16</v>
      </c>
      <c r="S34" s="7">
        <v>17</v>
      </c>
      <c r="T34" s="7">
        <v>18</v>
      </c>
      <c r="U34" s="7">
        <v>19</v>
      </c>
      <c r="V34" s="7">
        <v>20</v>
      </c>
      <c r="W34" s="7">
        <v>21</v>
      </c>
      <c r="X34" s="7">
        <v>22</v>
      </c>
      <c r="AA34" s="38" t="s">
        <v>31</v>
      </c>
    </row>
    <row r="35" spans="1:27">
      <c r="A35" s="50">
        <f>INDEX([2]APPLIC!$B$8:$F$67,MATCH($C35,[2]APPLIC!$B$9:$B$67,0)+1,MATCH($D35,[2]APPLIC!$C$8:$F$8,0)+1)</f>
        <v>0.19500000000000003</v>
      </c>
      <c r="B35" s="77" t="s">
        <v>145</v>
      </c>
      <c r="C35" s="7" t="s">
        <v>146</v>
      </c>
      <c r="D35" s="7" t="s">
        <v>134</v>
      </c>
      <c r="E35" s="32">
        <f t="shared" ref="E35:N44" si="3">$A35*VLOOKUP($B35&amp;$D35,$B$13:$X$28,E$34+1,FALSE)</f>
        <v>250692.39000000004</v>
      </c>
      <c r="F35" s="32">
        <f t="shared" si="3"/>
        <v>250723.73682766789</v>
      </c>
      <c r="G35" s="32">
        <f t="shared" si="3"/>
        <v>250767.30228209408</v>
      </c>
      <c r="H35" s="32">
        <f t="shared" si="3"/>
        <v>250920.7992743878</v>
      </c>
      <c r="I35" s="32">
        <f t="shared" si="3"/>
        <v>251141.92947029806</v>
      </c>
      <c r="J35" s="32">
        <f t="shared" si="3"/>
        <v>251423.25796086362</v>
      </c>
      <c r="K35" s="32">
        <f t="shared" si="3"/>
        <v>251743.01472548075</v>
      </c>
      <c r="L35" s="32">
        <f t="shared" si="3"/>
        <v>252105.64153859438</v>
      </c>
      <c r="M35" s="32">
        <f t="shared" si="3"/>
        <v>252505.844027068</v>
      </c>
      <c r="N35" s="32">
        <f t="shared" si="3"/>
        <v>252940.27115209668</v>
      </c>
      <c r="O35" s="32">
        <f t="shared" ref="O35:X44" si="4">$A35*VLOOKUP($B35&amp;$D35,$B$13:$X$28,O$34+1,FALSE)</f>
        <v>253402.87487973974</v>
      </c>
      <c r="P35" s="32">
        <f t="shared" si="4"/>
        <v>253893.90730764673</v>
      </c>
      <c r="Q35" s="32">
        <f t="shared" si="4"/>
        <v>254409.7211920433</v>
      </c>
      <c r="R35" s="32">
        <f t="shared" si="4"/>
        <v>254951.12530589593</v>
      </c>
      <c r="S35" s="32">
        <f t="shared" si="4"/>
        <v>255515.24476828799</v>
      </c>
      <c r="T35" s="32">
        <f t="shared" si="4"/>
        <v>256092.15284765922</v>
      </c>
      <c r="U35" s="32">
        <f t="shared" si="4"/>
        <v>256693.06130860012</v>
      </c>
      <c r="V35" s="32">
        <f t="shared" si="4"/>
        <v>257312.83823657889</v>
      </c>
      <c r="W35" s="32">
        <f t="shared" si="4"/>
        <v>257952.21725436894</v>
      </c>
      <c r="X35" s="32">
        <f t="shared" si="4"/>
        <v>258605.97434603382</v>
      </c>
      <c r="Y35" s="302"/>
      <c r="Z35" s="7" t="str">
        <f>C35&amp;D35</f>
        <v>Convert Medium Pressure Center Pivot to Low pressure systemIdaho</v>
      </c>
      <c r="AA35" s="41">
        <f>VLOOKUP(B35&amp;D35,$B$13:$X$28,$X$34+1,FALSE)*$AA$33*$A35</f>
        <v>219815.07819412873</v>
      </c>
    </row>
    <row r="36" spans="1:27">
      <c r="A36" s="50">
        <f>INDEX([2]APPLIC!$B$8:$F$67,MATCH($C36,[2]APPLIC!$B$9:$B$67,0)+1,MATCH($D36,[2]APPLIC!$C$8:$F$8,0)+1)</f>
        <v>0.255</v>
      </c>
      <c r="B36" s="77" t="s">
        <v>144</v>
      </c>
      <c r="C36" s="7" t="s">
        <v>147</v>
      </c>
      <c r="D36" s="7" t="s">
        <v>134</v>
      </c>
      <c r="E36" s="32">
        <f>$A36*VLOOKUP($B36&amp;$D36,$B$13:$X$28,E$34+1,FALSE)</f>
        <v>58830.285000000003</v>
      </c>
      <c r="F36" s="32">
        <f t="shared" si="3"/>
        <v>58837.641197791032</v>
      </c>
      <c r="G36" s="32">
        <f t="shared" si="3"/>
        <v>58847.864755434915</v>
      </c>
      <c r="H36" s="32">
        <f t="shared" si="3"/>
        <v>58883.886079429954</v>
      </c>
      <c r="I36" s="32">
        <f t="shared" si="3"/>
        <v>58935.778968749437</v>
      </c>
      <c r="J36" s="32">
        <f t="shared" si="3"/>
        <v>59001.798664355651</v>
      </c>
      <c r="K36" s="32">
        <f t="shared" si="3"/>
        <v>59076.836369301964</v>
      </c>
      <c r="L36" s="32">
        <f t="shared" si="3"/>
        <v>59161.934440145342</v>
      </c>
      <c r="M36" s="32">
        <f t="shared" si="3"/>
        <v>59255.850439967318</v>
      </c>
      <c r="N36" s="32">
        <f t="shared" si="3"/>
        <v>59357.79797645683</v>
      </c>
      <c r="O36" s="32">
        <f t="shared" si="4"/>
        <v>59466.357750207062</v>
      </c>
      <c r="P36" s="32">
        <f t="shared" si="4"/>
        <v>59581.588921276954</v>
      </c>
      <c r="Q36" s="32">
        <f t="shared" si="4"/>
        <v>59702.635586578624</v>
      </c>
      <c r="R36" s="32">
        <f t="shared" si="4"/>
        <v>59829.687541837906</v>
      </c>
      <c r="S36" s="32">
        <f t="shared" si="4"/>
        <v>59962.070135288668</v>
      </c>
      <c r="T36" s="32">
        <f t="shared" si="4"/>
        <v>60097.453848883706</v>
      </c>
      <c r="U36" s="32">
        <f t="shared" si="4"/>
        <v>60238.469760918626</v>
      </c>
      <c r="V36" s="32">
        <f t="shared" si="4"/>
        <v>60383.913558831337</v>
      </c>
      <c r="W36" s="32">
        <f t="shared" si="4"/>
        <v>60533.957402761378</v>
      </c>
      <c r="X36" s="32">
        <f t="shared" si="4"/>
        <v>60687.375366599124</v>
      </c>
      <c r="Y36" s="32"/>
      <c r="Z36" s="7" t="str">
        <f t="shared" ref="Z36:Z50" si="5">C36&amp;D36</f>
        <v>Convert High Pressure Center Pivot to Low pressure systemIdaho</v>
      </c>
      <c r="AA36" s="41">
        <f t="shared" ref="AA36:AA50" si="6">VLOOKUP(B36&amp;D36,$B$13:$X$28,$X$34+1,FALSE)*$AA$33*$A36</f>
        <v>51584.269061609251</v>
      </c>
    </row>
    <row r="37" spans="1:27">
      <c r="A37" s="50">
        <f>INDEX([2]APPLIC!$B$8:$F$67,MATCH($C37,[2]APPLIC!$B$9:$B$67,0)+1,MATCH($D37,[2]APPLIC!$C$8:$F$8,0)+1)</f>
        <v>0.10500000000000001</v>
      </c>
      <c r="B37" s="77" t="s">
        <v>142</v>
      </c>
      <c r="C37" s="7" t="s">
        <v>148</v>
      </c>
      <c r="D37" s="7" t="s">
        <v>134</v>
      </c>
      <c r="E37" s="32">
        <f t="shared" si="3"/>
        <v>57515.412821689955</v>
      </c>
      <c r="F37" s="32">
        <f t="shared" si="3"/>
        <v>57522.604606546163</v>
      </c>
      <c r="G37" s="32">
        <f t="shared" si="3"/>
        <v>57532.599665016365</v>
      </c>
      <c r="H37" s="32">
        <f t="shared" si="3"/>
        <v>57567.815903046801</v>
      </c>
      <c r="I37" s="32">
        <f t="shared" si="3"/>
        <v>57618.548972786644</v>
      </c>
      <c r="J37" s="32">
        <f t="shared" si="3"/>
        <v>57683.093111016708</v>
      </c>
      <c r="K37" s="32">
        <f t="shared" si="3"/>
        <v>57756.453703731488</v>
      </c>
      <c r="L37" s="32">
        <f t="shared" si="3"/>
        <v>57839.649810547671</v>
      </c>
      <c r="M37" s="32">
        <f t="shared" si="3"/>
        <v>57931.466763335215</v>
      </c>
      <c r="N37" s="32">
        <f t="shared" si="3"/>
        <v>58031.135745855841</v>
      </c>
      <c r="O37" s="32">
        <f t="shared" si="4"/>
        <v>58137.269180413794</v>
      </c>
      <c r="P37" s="32">
        <f t="shared" si="4"/>
        <v>58249.924904825319</v>
      </c>
      <c r="Q37" s="32">
        <f t="shared" si="4"/>
        <v>58368.266145659269</v>
      </c>
      <c r="R37" s="32">
        <f t="shared" si="4"/>
        <v>58492.478456657598</v>
      </c>
      <c r="S37" s="32">
        <f t="shared" si="4"/>
        <v>58621.902264696728</v>
      </c>
      <c r="T37" s="32">
        <f t="shared" si="4"/>
        <v>58754.260117063954</v>
      </c>
      <c r="U37" s="32">
        <f t="shared" si="4"/>
        <v>58892.124286770355</v>
      </c>
      <c r="V37" s="32">
        <f t="shared" si="4"/>
        <v>59034.317377952968</v>
      </c>
      <c r="W37" s="32">
        <f t="shared" si="4"/>
        <v>59181.007702927418</v>
      </c>
      <c r="X37" s="32">
        <f t="shared" si="4"/>
        <v>59330.996735351633</v>
      </c>
      <c r="Y37" s="32"/>
      <c r="Z37" s="7" t="str">
        <f t="shared" si="5"/>
        <v>Convert wheel line systems to low pressure systems on alfalfa acreageIdaho</v>
      </c>
      <c r="AA37" s="41">
        <f t="shared" si="6"/>
        <v>50431.347225048885</v>
      </c>
    </row>
    <row r="38" spans="1:27">
      <c r="A38" s="50">
        <f>INDEX([2]APPLIC!$B$8:$F$67,MATCH($C38,[2]APPLIC!$B$9:$B$67,0)+1,MATCH($D38,[2]APPLIC!$C$8:$F$8,0)+1)</f>
        <v>0.10500000000000001</v>
      </c>
      <c r="B38" s="77" t="s">
        <v>143</v>
      </c>
      <c r="C38" s="7" t="s">
        <v>149</v>
      </c>
      <c r="D38" s="7" t="s">
        <v>134</v>
      </c>
      <c r="E38" s="32">
        <f t="shared" si="3"/>
        <v>19482.662178310049</v>
      </c>
      <c r="F38" s="32">
        <f t="shared" si="3"/>
        <v>19485.098309912668</v>
      </c>
      <c r="G38" s="32">
        <f t="shared" si="3"/>
        <v>19488.484017118339</v>
      </c>
      <c r="H38" s="32">
        <f t="shared" si="3"/>
        <v>19500.413098995308</v>
      </c>
      <c r="I38" s="32">
        <f t="shared" si="3"/>
        <v>19517.598323103401</v>
      </c>
      <c r="J38" s="32">
        <f t="shared" si="3"/>
        <v>19539.461882435313</v>
      </c>
      <c r="K38" s="32">
        <f t="shared" si="3"/>
        <v>19564.311910887576</v>
      </c>
      <c r="L38" s="32">
        <f t="shared" si="3"/>
        <v>19592.493602787719</v>
      </c>
      <c r="M38" s="32">
        <f t="shared" si="3"/>
        <v>19623.59550375029</v>
      </c>
      <c r="N38" s="32">
        <f t="shared" si="3"/>
        <v>19657.357186416561</v>
      </c>
      <c r="O38" s="32">
        <f t="shared" si="4"/>
        <v>19693.308625341757</v>
      </c>
      <c r="P38" s="32">
        <f t="shared" si="4"/>
        <v>19731.469412398383</v>
      </c>
      <c r="Q38" s="32">
        <f t="shared" si="4"/>
        <v>19771.556100536702</v>
      </c>
      <c r="R38" s="32">
        <f t="shared" si="4"/>
        <v>19813.631543880387</v>
      </c>
      <c r="S38" s="32">
        <f t="shared" si="4"/>
        <v>19857.472319876797</v>
      </c>
      <c r="T38" s="32">
        <f t="shared" si="4"/>
        <v>19902.306968500667</v>
      </c>
      <c r="U38" s="32">
        <f t="shared" si="4"/>
        <v>19949.00681664763</v>
      </c>
      <c r="V38" s="32">
        <f t="shared" si="4"/>
        <v>19997.173035469517</v>
      </c>
      <c r="W38" s="32">
        <f t="shared" si="4"/>
        <v>20046.862638761835</v>
      </c>
      <c r="X38" s="32">
        <f t="shared" si="4"/>
        <v>20097.669639977874</v>
      </c>
      <c r="Y38" s="32"/>
      <c r="Z38" s="7" t="str">
        <f t="shared" si="5"/>
        <v>Convert hand line systems to low pressure systems on alfalfa acreageIdaho</v>
      </c>
      <c r="AA38" s="41">
        <f t="shared" si="6"/>
        <v>17083.019193981192</v>
      </c>
    </row>
    <row r="39" spans="1:27">
      <c r="A39" s="50">
        <f>INDEX([2]APPLIC!$B$8:$F$67,MATCH($C39,[2]APPLIC!$B$9:$B$67,0)+1,MATCH($D39,[2]APPLIC!$C$8:$F$8,0)+1)</f>
        <v>0.19500000000000003</v>
      </c>
      <c r="B39" s="77" t="s">
        <v>145</v>
      </c>
      <c r="C39" s="7" t="s">
        <v>146</v>
      </c>
      <c r="D39" s="7" t="s">
        <v>130</v>
      </c>
      <c r="E39" s="32">
        <f t="shared" si="3"/>
        <v>10919.489170168561</v>
      </c>
      <c r="F39" s="32">
        <f t="shared" si="3"/>
        <v>11037.946434477026</v>
      </c>
      <c r="G39" s="32">
        <f t="shared" si="3"/>
        <v>11154.867830861536</v>
      </c>
      <c r="H39" s="32">
        <f t="shared" si="3"/>
        <v>11274.808451092535</v>
      </c>
      <c r="I39" s="32">
        <f t="shared" si="3"/>
        <v>11396.108458862484</v>
      </c>
      <c r="J39" s="32">
        <f t="shared" si="3"/>
        <v>11483.365493862553</v>
      </c>
      <c r="K39" s="32">
        <f t="shared" si="3"/>
        <v>11571.250065564545</v>
      </c>
      <c r="L39" s="32">
        <f t="shared" si="3"/>
        <v>11662.935652150449</v>
      </c>
      <c r="M39" s="32">
        <f t="shared" si="3"/>
        <v>11757.940822475437</v>
      </c>
      <c r="N39" s="32">
        <f t="shared" si="3"/>
        <v>11855.899571687669</v>
      </c>
      <c r="O39" s="32">
        <f t="shared" si="4"/>
        <v>11956.335146873265</v>
      </c>
      <c r="P39" s="32">
        <f t="shared" si="4"/>
        <v>12059.086534040533</v>
      </c>
      <c r="Q39" s="32">
        <f t="shared" si="4"/>
        <v>12163.839034662715</v>
      </c>
      <c r="R39" s="32">
        <f t="shared" si="4"/>
        <v>12270.492549254404</v>
      </c>
      <c r="S39" s="32">
        <f t="shared" si="4"/>
        <v>12378.806478939137</v>
      </c>
      <c r="T39" s="32">
        <f t="shared" si="4"/>
        <v>12488.180124761398</v>
      </c>
      <c r="U39" s="32">
        <f t="shared" si="4"/>
        <v>12599.090182460679</v>
      </c>
      <c r="V39" s="32">
        <f t="shared" si="4"/>
        <v>12711.195696655654</v>
      </c>
      <c r="W39" s="32">
        <f t="shared" si="4"/>
        <v>12824.476332012988</v>
      </c>
      <c r="X39" s="32">
        <f t="shared" si="4"/>
        <v>12938.633737562652</v>
      </c>
      <c r="Y39" s="32"/>
      <c r="Z39" s="7" t="str">
        <f t="shared" si="5"/>
        <v>Convert Medium Pressure Center Pivot to Low pressure systemMontana</v>
      </c>
      <c r="AA39" s="41">
        <f t="shared" si="6"/>
        <v>10997.838676928253</v>
      </c>
    </row>
    <row r="40" spans="1:27">
      <c r="A40" s="50">
        <f>INDEX([2]APPLIC!$B$8:$F$67,MATCH($C40,[2]APPLIC!$B$9:$B$67,0)+1,MATCH($D40,[2]APPLIC!$C$8:$F$8,0)+1)</f>
        <v>0.255</v>
      </c>
      <c r="B40" s="77" t="s">
        <v>144</v>
      </c>
      <c r="C40" s="7" t="s">
        <v>147</v>
      </c>
      <c r="D40" s="7" t="s">
        <v>130</v>
      </c>
      <c r="E40" s="32">
        <f t="shared" si="3"/>
        <v>2683.0613966544738</v>
      </c>
      <c r="F40" s="32">
        <f t="shared" si="3"/>
        <v>2712.1678967907287</v>
      </c>
      <c r="G40" s="32">
        <f t="shared" si="3"/>
        <v>2740.8970140775746</v>
      </c>
      <c r="H40" s="32">
        <f t="shared" si="3"/>
        <v>2770.3679941772434</v>
      </c>
      <c r="I40" s="32">
        <f t="shared" si="3"/>
        <v>2800.172993586059</v>
      </c>
      <c r="J40" s="32">
        <f t="shared" si="3"/>
        <v>2821.6131890518691</v>
      </c>
      <c r="K40" s="32">
        <f t="shared" si="3"/>
        <v>2843.2075784981557</v>
      </c>
      <c r="L40" s="32">
        <f t="shared" si="3"/>
        <v>2865.7359270467591</v>
      </c>
      <c r="M40" s="32">
        <f t="shared" si="3"/>
        <v>2889.0799407647219</v>
      </c>
      <c r="N40" s="32">
        <f t="shared" si="3"/>
        <v>2913.1496874699001</v>
      </c>
      <c r="O40" s="32">
        <f t="shared" si="4"/>
        <v>2937.828022731906</v>
      </c>
      <c r="P40" s="32">
        <f t="shared" si="4"/>
        <v>2963.0753833057283</v>
      </c>
      <c r="Q40" s="32">
        <f t="shared" si="4"/>
        <v>2988.8144436447624</v>
      </c>
      <c r="R40" s="32">
        <f t="shared" si="4"/>
        <v>3015.0206079954037</v>
      </c>
      <c r="S40" s="32">
        <f t="shared" si="4"/>
        <v>3041.6347580648949</v>
      </c>
      <c r="T40" s="32">
        <f t="shared" si="4"/>
        <v>3068.5092942582892</v>
      </c>
      <c r="U40" s="32">
        <f t="shared" si="4"/>
        <v>3095.7613469574785</v>
      </c>
      <c r="V40" s="32">
        <f t="shared" si="4"/>
        <v>3123.3071389630577</v>
      </c>
      <c r="W40" s="32">
        <f t="shared" si="4"/>
        <v>3151.1416736174901</v>
      </c>
      <c r="X40" s="32">
        <f t="shared" si="4"/>
        <v>3179.1916421828055</v>
      </c>
      <c r="Y40" s="32"/>
      <c r="Z40" s="7" t="str">
        <f t="shared" si="5"/>
        <v>Convert High Pressure Center Pivot to Low pressure systemMontana</v>
      </c>
      <c r="AA40" s="41">
        <f t="shared" si="6"/>
        <v>2702.3128958553843</v>
      </c>
    </row>
    <row r="41" spans="1:27">
      <c r="A41" s="50">
        <f>INDEX([2]APPLIC!$B$8:$F$67,MATCH($C41,[2]APPLIC!$B$9:$B$67,0)+1,MATCH($D41,[2]APPLIC!$C$8:$F$8,0)+1)</f>
        <v>0.10500000000000001</v>
      </c>
      <c r="B41" s="77" t="s">
        <v>142</v>
      </c>
      <c r="C41" s="7" t="s">
        <v>148</v>
      </c>
      <c r="D41" s="7" t="s">
        <v>130</v>
      </c>
      <c r="E41" s="32">
        <f t="shared" si="3"/>
        <v>5130.6346973086784</v>
      </c>
      <c r="F41" s="32">
        <f t="shared" si="3"/>
        <v>5186.2930656570488</v>
      </c>
      <c r="G41" s="32">
        <f t="shared" si="3"/>
        <v>5241.2297906081567</v>
      </c>
      <c r="H41" s="32">
        <f t="shared" si="3"/>
        <v>5297.5851290478931</v>
      </c>
      <c r="I41" s="32">
        <f t="shared" si="3"/>
        <v>5354.5791897543713</v>
      </c>
      <c r="J41" s="32">
        <f t="shared" si="3"/>
        <v>5395.577808314174</v>
      </c>
      <c r="K41" s="32">
        <f t="shared" si="3"/>
        <v>5436.8712814707933</v>
      </c>
      <c r="L41" s="32">
        <f t="shared" si="3"/>
        <v>5479.9507007046032</v>
      </c>
      <c r="M41" s="32">
        <f t="shared" si="3"/>
        <v>5524.5898606228857</v>
      </c>
      <c r="N41" s="32">
        <f t="shared" si="3"/>
        <v>5570.6167900681094</v>
      </c>
      <c r="O41" s="32">
        <f t="shared" si="4"/>
        <v>5617.8074817626575</v>
      </c>
      <c r="P41" s="32">
        <f t="shared" si="4"/>
        <v>5666.086281620549</v>
      </c>
      <c r="Q41" s="32">
        <f t="shared" si="4"/>
        <v>5715.3053252906757</v>
      </c>
      <c r="R41" s="32">
        <f t="shared" si="4"/>
        <v>5765.4175799965979</v>
      </c>
      <c r="S41" s="32">
        <f t="shared" si="4"/>
        <v>5816.3099978727505</v>
      </c>
      <c r="T41" s="32">
        <f t="shared" si="4"/>
        <v>5867.7003343144861</v>
      </c>
      <c r="U41" s="32">
        <f t="shared" si="4"/>
        <v>5919.8125697354444</v>
      </c>
      <c r="V41" s="32">
        <f t="shared" si="4"/>
        <v>5972.4865027303795</v>
      </c>
      <c r="W41" s="32">
        <f t="shared" si="4"/>
        <v>6025.71257853302</v>
      </c>
      <c r="X41" s="32">
        <f t="shared" si="4"/>
        <v>6079.3506138605271</v>
      </c>
      <c r="Y41" s="32"/>
      <c r="Z41" s="7" t="str">
        <f t="shared" si="5"/>
        <v>Convert wheel line systems to low pressure systems on alfalfa acreageMontana</v>
      </c>
      <c r="AA41" s="41">
        <f t="shared" si="6"/>
        <v>5167.448021781448</v>
      </c>
    </row>
    <row r="42" spans="1:27">
      <c r="A42" s="50">
        <f>INDEX([2]APPLIC!$B$8:$F$67,MATCH($C42,[2]APPLIC!$B$9:$B$67,0)+1,MATCH($D42,[2]APPLIC!$C$8:$F$8,0)+1)</f>
        <v>0.10500000000000001</v>
      </c>
      <c r="B42" s="77" t="s">
        <v>143</v>
      </c>
      <c r="C42" s="7" t="s">
        <v>149</v>
      </c>
      <c r="D42" s="7" t="s">
        <v>130</v>
      </c>
      <c r="E42" s="32">
        <f t="shared" si="3"/>
        <v>1229.0592694488787</v>
      </c>
      <c r="F42" s="32">
        <f t="shared" si="3"/>
        <v>1242.3924022047242</v>
      </c>
      <c r="G42" s="32">
        <f t="shared" si="3"/>
        <v>1255.5526630725933</v>
      </c>
      <c r="H42" s="32">
        <f t="shared" si="3"/>
        <v>1269.0527571503533</v>
      </c>
      <c r="I42" s="32">
        <f t="shared" si="3"/>
        <v>1282.7058591050829</v>
      </c>
      <c r="J42" s="32">
        <f t="shared" si="3"/>
        <v>1292.5272038603346</v>
      </c>
      <c r="K42" s="32">
        <f t="shared" si="3"/>
        <v>1302.419181938116</v>
      </c>
      <c r="L42" s="32">
        <f t="shared" si="3"/>
        <v>1312.7389888734181</v>
      </c>
      <c r="M42" s="32">
        <f t="shared" si="3"/>
        <v>1323.4324364709944</v>
      </c>
      <c r="N42" s="32">
        <f t="shared" si="3"/>
        <v>1334.4583285128883</v>
      </c>
      <c r="O42" s="32">
        <f t="shared" si="4"/>
        <v>1345.7630033690641</v>
      </c>
      <c r="P42" s="32">
        <f t="shared" si="4"/>
        <v>1357.3283378713109</v>
      </c>
      <c r="Q42" s="32">
        <f t="shared" si="4"/>
        <v>1369.11891066105</v>
      </c>
      <c r="R42" s="32">
        <f t="shared" si="4"/>
        <v>1381.1234548925081</v>
      </c>
      <c r="S42" s="32">
        <f t="shared" si="4"/>
        <v>1393.314889602947</v>
      </c>
      <c r="T42" s="32">
        <f t="shared" si="4"/>
        <v>1405.6256022321163</v>
      </c>
      <c r="U42" s="32">
        <f t="shared" si="4"/>
        <v>1418.1092479747042</v>
      </c>
      <c r="V42" s="32">
        <f t="shared" si="4"/>
        <v>1430.7274500929946</v>
      </c>
      <c r="W42" s="32">
        <f t="shared" si="4"/>
        <v>1443.4779197134374</v>
      </c>
      <c r="X42" s="32">
        <f t="shared" si="4"/>
        <v>1456.3270755009037</v>
      </c>
      <c r="Y42" s="32"/>
      <c r="Z42" s="7" t="str">
        <f t="shared" si="5"/>
        <v>Convert hand line systems to low pressure systems on alfalfa acreageMontana</v>
      </c>
      <c r="AA42" s="41">
        <f t="shared" si="6"/>
        <v>1237.8780141757679</v>
      </c>
    </row>
    <row r="43" spans="1:27">
      <c r="A43" s="50">
        <f>INDEX([2]APPLIC!$B$8:$F$67,MATCH($C43,[2]APPLIC!$B$9:$B$67,0)+1,MATCH($D43,[2]APPLIC!$C$8:$F$8,0)+1)</f>
        <v>0.19500000000000003</v>
      </c>
      <c r="B43" s="77" t="s">
        <v>145</v>
      </c>
      <c r="C43" s="7" t="s">
        <v>146</v>
      </c>
      <c r="D43" s="7" t="s">
        <v>136</v>
      </c>
      <c r="E43" s="32">
        <f t="shared" si="3"/>
        <v>83190.705000000016</v>
      </c>
      <c r="F43" s="32">
        <f t="shared" si="3"/>
        <v>84077.694463131629</v>
      </c>
      <c r="G43" s="32">
        <f t="shared" si="3"/>
        <v>84996.769509256977</v>
      </c>
      <c r="H43" s="32">
        <f t="shared" si="3"/>
        <v>85946.503141314402</v>
      </c>
      <c r="I43" s="32">
        <f t="shared" si="3"/>
        <v>87503.372397701969</v>
      </c>
      <c r="J43" s="32">
        <f t="shared" si="3"/>
        <v>88588.413271446188</v>
      </c>
      <c r="K43" s="32">
        <f t="shared" si="3"/>
        <v>89646.146785304169</v>
      </c>
      <c r="L43" s="32">
        <f t="shared" si="3"/>
        <v>90747.744173592087</v>
      </c>
      <c r="M43" s="32">
        <f t="shared" si="3"/>
        <v>91822.399492088414</v>
      </c>
      <c r="N43" s="32">
        <f t="shared" si="3"/>
        <v>93629.662451566532</v>
      </c>
      <c r="O43" s="32">
        <f t="shared" si="4"/>
        <v>94715.039500505722</v>
      </c>
      <c r="P43" s="32">
        <f t="shared" si="4"/>
        <v>95770.907987557526</v>
      </c>
      <c r="Q43" s="32">
        <f t="shared" si="4"/>
        <v>96865.184947359856</v>
      </c>
      <c r="R43" s="32">
        <f t="shared" si="4"/>
        <v>97929.327468262185</v>
      </c>
      <c r="S43" s="32">
        <f t="shared" si="4"/>
        <v>99685.222675545869</v>
      </c>
      <c r="T43" s="32">
        <f t="shared" si="4"/>
        <v>100855.16387966211</v>
      </c>
      <c r="U43" s="32">
        <f t="shared" si="4"/>
        <v>102063.62009402485</v>
      </c>
      <c r="V43" s="32">
        <f t="shared" si="4"/>
        <v>103274.36245749801</v>
      </c>
      <c r="W43" s="32">
        <f t="shared" si="4"/>
        <v>104453.55257066514</v>
      </c>
      <c r="X43" s="32">
        <f t="shared" si="4"/>
        <v>106421.26506501646</v>
      </c>
      <c r="Y43" s="32"/>
      <c r="Z43" s="7" t="str">
        <f t="shared" si="5"/>
        <v>Convert Medium Pressure Center Pivot to Low pressure systemWashington</v>
      </c>
      <c r="AA43" s="41">
        <f t="shared" si="6"/>
        <v>90458.075305263977</v>
      </c>
    </row>
    <row r="44" spans="1:27">
      <c r="A44" s="50">
        <f>INDEX([2]APPLIC!$B$8:$F$67,MATCH($C44,[2]APPLIC!$B$9:$B$67,0)+1,MATCH($D44,[2]APPLIC!$C$8:$F$8,0)+1)</f>
        <v>0.255</v>
      </c>
      <c r="B44" s="77" t="s">
        <v>144</v>
      </c>
      <c r="C44" s="7" t="s">
        <v>147</v>
      </c>
      <c r="D44" s="7" t="s">
        <v>136</v>
      </c>
      <c r="E44" s="32">
        <f t="shared" si="3"/>
        <v>29307.915000000001</v>
      </c>
      <c r="F44" s="32">
        <f t="shared" si="3"/>
        <v>29620.399571339512</v>
      </c>
      <c r="G44" s="32">
        <f t="shared" si="3"/>
        <v>29944.18782785763</v>
      </c>
      <c r="H44" s="32">
        <f t="shared" si="3"/>
        <v>30278.777041411955</v>
      </c>
      <c r="I44" s="32">
        <f t="shared" si="3"/>
        <v>30827.258892026402</v>
      </c>
      <c r="J44" s="32">
        <f t="shared" si="3"/>
        <v>31209.516569722746</v>
      </c>
      <c r="K44" s="32">
        <f t="shared" si="3"/>
        <v>31582.153920455632</v>
      </c>
      <c r="L44" s="32">
        <f t="shared" si="3"/>
        <v>31970.244424318586</v>
      </c>
      <c r="M44" s="32">
        <f t="shared" si="3"/>
        <v>32348.843292170324</v>
      </c>
      <c r="N44" s="32">
        <f t="shared" si="3"/>
        <v>32985.538331586482</v>
      </c>
      <c r="O44" s="32">
        <f t="shared" si="4"/>
        <v>33367.914443115536</v>
      </c>
      <c r="P44" s="32">
        <f t="shared" si="4"/>
        <v>33739.894748724109</v>
      </c>
      <c r="Q44" s="32">
        <f t="shared" si="4"/>
        <v>34125.406280623567</v>
      </c>
      <c r="R44" s="32">
        <f t="shared" si="4"/>
        <v>34500.30151141277</v>
      </c>
      <c r="S44" s="32">
        <f t="shared" si="4"/>
        <v>35118.899796930091</v>
      </c>
      <c r="T44" s="32">
        <f t="shared" si="4"/>
        <v>35531.067687143739</v>
      </c>
      <c r="U44" s="32">
        <f t="shared" si="4"/>
        <v>35956.804336589921</v>
      </c>
      <c r="V44" s="32">
        <f t="shared" si="4"/>
        <v>36383.346391685736</v>
      </c>
      <c r="W44" s="32">
        <f t="shared" si="4"/>
        <v>36798.772653616586</v>
      </c>
      <c r="X44" s="32">
        <f t="shared" si="4"/>
        <v>37491.993735573837</v>
      </c>
      <c r="Y44" s="32"/>
      <c r="Z44" s="7" t="str">
        <f t="shared" si="5"/>
        <v>Convert High Pressure Center Pivot to Low pressure systemWashington</v>
      </c>
      <c r="AA44" s="41">
        <f t="shared" si="6"/>
        <v>31868.194675237759</v>
      </c>
    </row>
    <row r="45" spans="1:27">
      <c r="A45" s="50">
        <f>INDEX([2]APPLIC!$B$8:$F$67,MATCH($C45,[2]APPLIC!$B$9:$B$67,0)+1,MATCH($D45,[2]APPLIC!$C$8:$F$8,0)+1)</f>
        <v>0.10500000000000001</v>
      </c>
      <c r="B45" s="77" t="s">
        <v>142</v>
      </c>
      <c r="C45" s="7" t="s">
        <v>148</v>
      </c>
      <c r="D45" s="7" t="s">
        <v>136</v>
      </c>
      <c r="E45" s="32">
        <f t="shared" ref="E45:N50" si="7">$A45*VLOOKUP($B45&amp;$D45,$B$13:$X$28,E$34+1,FALSE)</f>
        <v>21216.566173797168</v>
      </c>
      <c r="F45" s="32">
        <f t="shared" si="7"/>
        <v>21442.779795138551</v>
      </c>
      <c r="G45" s="32">
        <f t="shared" si="7"/>
        <v>21677.176372674519</v>
      </c>
      <c r="H45" s="32">
        <f t="shared" si="7"/>
        <v>21919.391971785342</v>
      </c>
      <c r="I45" s="32">
        <f t="shared" si="7"/>
        <v>22316.448585286784</v>
      </c>
      <c r="J45" s="32">
        <f t="shared" si="7"/>
        <v>22593.172306994264</v>
      </c>
      <c r="K45" s="32">
        <f t="shared" si="7"/>
        <v>22862.931688057459</v>
      </c>
      <c r="L45" s="32">
        <f t="shared" si="7"/>
        <v>23143.877905372156</v>
      </c>
      <c r="M45" s="32">
        <f t="shared" si="7"/>
        <v>23417.952943910419</v>
      </c>
      <c r="N45" s="32">
        <f t="shared" si="7"/>
        <v>23878.868789896096</v>
      </c>
      <c r="O45" s="32">
        <f t="shared" ref="O45:X50" si="8">$A45*VLOOKUP($B45&amp;$D45,$B$13:$X$28,O$34+1,FALSE)</f>
        <v>24155.678248144337</v>
      </c>
      <c r="P45" s="32">
        <f t="shared" si="8"/>
        <v>24424.961981541735</v>
      </c>
      <c r="Q45" s="32">
        <f t="shared" si="8"/>
        <v>24704.041231201994</v>
      </c>
      <c r="R45" s="32">
        <f t="shared" si="8"/>
        <v>24975.435135281488</v>
      </c>
      <c r="S45" s="32">
        <f t="shared" si="8"/>
        <v>25423.25039131986</v>
      </c>
      <c r="T45" s="32">
        <f t="shared" si="8"/>
        <v>25721.626694015984</v>
      </c>
      <c r="U45" s="32">
        <f t="shared" si="8"/>
        <v>26029.825683796917</v>
      </c>
      <c r="V45" s="32">
        <f t="shared" si="8"/>
        <v>26338.607722295659</v>
      </c>
      <c r="W45" s="32">
        <f t="shared" si="8"/>
        <v>26639.342823260336</v>
      </c>
      <c r="X45" s="32">
        <f t="shared" si="8"/>
        <v>27141.178964057704</v>
      </c>
      <c r="Y45" s="32"/>
      <c r="Z45" s="7" t="str">
        <f t="shared" si="5"/>
        <v>Convert wheel line systems to low pressure systems on alfalfa acreageWashington</v>
      </c>
      <c r="AA45" s="41">
        <f t="shared" si="6"/>
        <v>23070.002119449047</v>
      </c>
    </row>
    <row r="46" spans="1:27">
      <c r="A46" s="50">
        <f>INDEX([2]APPLIC!$B$8:$F$67,MATCH($C46,[2]APPLIC!$B$9:$B$67,0)+1,MATCH($D46,[2]APPLIC!$C$8:$F$8,0)+1)</f>
        <v>0.10500000000000001</v>
      </c>
      <c r="B46" s="77" t="s">
        <v>143</v>
      </c>
      <c r="C46" s="7" t="s">
        <v>149</v>
      </c>
      <c r="D46" s="7" t="s">
        <v>136</v>
      </c>
      <c r="E46" s="32">
        <f t="shared" si="7"/>
        <v>5801.4038262028334</v>
      </c>
      <c r="F46" s="32">
        <f t="shared" si="7"/>
        <v>5863.2591027654416</v>
      </c>
      <c r="G46" s="32">
        <f t="shared" si="7"/>
        <v>5927.3519060318549</v>
      </c>
      <c r="H46" s="32">
        <f t="shared" si="7"/>
        <v>5993.5827226464198</v>
      </c>
      <c r="I46" s="32">
        <f t="shared" si="7"/>
        <v>6102.1528719305788</v>
      </c>
      <c r="J46" s="32">
        <f t="shared" si="7"/>
        <v>6177.8195017124308</v>
      </c>
      <c r="K46" s="32">
        <f t="shared" si="7"/>
        <v>6251.5818199233254</v>
      </c>
      <c r="L46" s="32">
        <f t="shared" si="7"/>
        <v>6328.4030381513539</v>
      </c>
      <c r="M46" s="32">
        <f t="shared" si="7"/>
        <v>6403.3454187523339</v>
      </c>
      <c r="N46" s="32">
        <f t="shared" si="7"/>
        <v>6529.3770739483198</v>
      </c>
      <c r="O46" s="32">
        <f t="shared" si="8"/>
        <v>6605.0671473115463</v>
      </c>
      <c r="P46" s="32">
        <f t="shared" si="8"/>
        <v>6678.6994056359508</v>
      </c>
      <c r="Q46" s="32">
        <f t="shared" si="8"/>
        <v>6755.0101249828167</v>
      </c>
      <c r="R46" s="32">
        <f t="shared" si="8"/>
        <v>6829.2193830049464</v>
      </c>
      <c r="S46" s="32">
        <f t="shared" si="8"/>
        <v>6951.6688462466245</v>
      </c>
      <c r="T46" s="32">
        <f t="shared" si="8"/>
        <v>7033.2561026353314</v>
      </c>
      <c r="U46" s="32">
        <f t="shared" si="8"/>
        <v>7117.5292495668618</v>
      </c>
      <c r="V46" s="32">
        <f t="shared" si="8"/>
        <v>7201.9618238550456</v>
      </c>
      <c r="W46" s="32">
        <f t="shared" si="8"/>
        <v>7284.1940640355842</v>
      </c>
      <c r="X46" s="32">
        <f t="shared" si="8"/>
        <v>7421.4148604406246</v>
      </c>
      <c r="Y46" s="32"/>
      <c r="Z46" s="7" t="str">
        <f t="shared" si="5"/>
        <v>Convert hand line systems to low pressure systems on alfalfa acreageWashington</v>
      </c>
      <c r="AA46" s="41">
        <f t="shared" si="6"/>
        <v>6308.2026313745309</v>
      </c>
    </row>
    <row r="47" spans="1:27">
      <c r="A47" s="50">
        <f>INDEX([2]APPLIC!$B$8:$F$67,MATCH($C47,[2]APPLIC!$B$9:$B$67,0)+1,MATCH($D47,[2]APPLIC!$C$8:$F$8,0)+1)</f>
        <v>0.19500000000000003</v>
      </c>
      <c r="B47" s="77" t="s">
        <v>145</v>
      </c>
      <c r="C47" s="7" t="s">
        <v>146</v>
      </c>
      <c r="D47" s="7" t="s">
        <v>135</v>
      </c>
      <c r="E47" s="32">
        <f t="shared" si="7"/>
        <v>52199.74500000001</v>
      </c>
      <c r="F47" s="32">
        <f t="shared" si="7"/>
        <v>52727.528409678715</v>
      </c>
      <c r="G47" s="32">
        <f t="shared" si="7"/>
        <v>53257.926086457446</v>
      </c>
      <c r="H47" s="32">
        <f t="shared" si="7"/>
        <v>53853.182792491767</v>
      </c>
      <c r="I47" s="32">
        <f t="shared" si="7"/>
        <v>54919.642897709593</v>
      </c>
      <c r="J47" s="32">
        <f t="shared" si="7"/>
        <v>55583.007826742287</v>
      </c>
      <c r="K47" s="32">
        <f t="shared" si="7"/>
        <v>56254.168056260096</v>
      </c>
      <c r="L47" s="32">
        <f t="shared" si="7"/>
        <v>56975.515762965231</v>
      </c>
      <c r="M47" s="32">
        <f t="shared" si="7"/>
        <v>57662.905198863213</v>
      </c>
      <c r="N47" s="32">
        <f t="shared" si="7"/>
        <v>58894.575074963315</v>
      </c>
      <c r="O47" s="32">
        <f t="shared" si="8"/>
        <v>59593.31678518439</v>
      </c>
      <c r="P47" s="32">
        <f t="shared" si="8"/>
        <v>60297.221489219584</v>
      </c>
      <c r="Q47" s="32">
        <f t="shared" si="8"/>
        <v>60964.136691287255</v>
      </c>
      <c r="R47" s="32">
        <f t="shared" si="8"/>
        <v>61676.758751731744</v>
      </c>
      <c r="S47" s="32">
        <f t="shared" si="8"/>
        <v>62887.054407964308</v>
      </c>
      <c r="T47" s="32">
        <f t="shared" si="8"/>
        <v>63645.104723243276</v>
      </c>
      <c r="U47" s="32">
        <f t="shared" si="8"/>
        <v>64448.034105384773</v>
      </c>
      <c r="V47" s="32">
        <f t="shared" si="8"/>
        <v>65253.407751127605</v>
      </c>
      <c r="W47" s="32">
        <f t="shared" si="8"/>
        <v>66020.358190832194</v>
      </c>
      <c r="X47" s="32">
        <f t="shared" si="8"/>
        <v>67403.224897368447</v>
      </c>
      <c r="Y47" s="32"/>
      <c r="Z47" s="7" t="str">
        <f t="shared" si="5"/>
        <v>Convert Medium Pressure Center Pivot to Low pressure systemOregon</v>
      </c>
      <c r="AA47" s="41">
        <f t="shared" si="6"/>
        <v>57292.741162763166</v>
      </c>
    </row>
    <row r="48" spans="1:27">
      <c r="A48" s="50">
        <f>INDEX([2]APPLIC!$B$8:$F$67,MATCH($C48,[2]APPLIC!$B$9:$B$67,0)+1,MATCH($D48,[2]APPLIC!$C$8:$F$8,0)+1)</f>
        <v>0.255</v>
      </c>
      <c r="B48" s="77" t="s">
        <v>144</v>
      </c>
      <c r="C48" s="7" t="s">
        <v>147</v>
      </c>
      <c r="D48" s="7" t="s">
        <v>135</v>
      </c>
      <c r="E48" s="32">
        <f t="shared" si="7"/>
        <v>18788.654999999999</v>
      </c>
      <c r="F48" s="32">
        <f t="shared" si="7"/>
        <v>18978.624134890928</v>
      </c>
      <c r="G48" s="32">
        <f t="shared" si="7"/>
        <v>19169.53424301113</v>
      </c>
      <c r="H48" s="32">
        <f t="shared" si="7"/>
        <v>19383.789559509616</v>
      </c>
      <c r="I48" s="32">
        <f t="shared" si="7"/>
        <v>19767.648733308291</v>
      </c>
      <c r="J48" s="32">
        <f t="shared" si="7"/>
        <v>20006.418765435741</v>
      </c>
      <c r="K48" s="32">
        <f t="shared" si="7"/>
        <v>20247.994619917998</v>
      </c>
      <c r="L48" s="32">
        <f t="shared" si="7"/>
        <v>20507.634838396538</v>
      </c>
      <c r="M48" s="32">
        <f t="shared" si="7"/>
        <v>20755.052195736724</v>
      </c>
      <c r="N48" s="32">
        <f t="shared" si="7"/>
        <v>21198.376590825967</v>
      </c>
      <c r="O48" s="32">
        <f t="shared" si="8"/>
        <v>21449.880059424395</v>
      </c>
      <c r="P48" s="32">
        <f t="shared" si="8"/>
        <v>21703.241884027073</v>
      </c>
      <c r="Q48" s="32">
        <f t="shared" si="8"/>
        <v>21943.28979318649</v>
      </c>
      <c r="R48" s="32">
        <f t="shared" si="8"/>
        <v>22199.789322812176</v>
      </c>
      <c r="S48" s="32">
        <f t="shared" si="8"/>
        <v>22635.420330836303</v>
      </c>
      <c r="T48" s="32">
        <f t="shared" si="8"/>
        <v>22908.271201016181</v>
      </c>
      <c r="U48" s="32">
        <f t="shared" si="8"/>
        <v>23197.275738306922</v>
      </c>
      <c r="V48" s="32">
        <f t="shared" si="8"/>
        <v>23487.160058162401</v>
      </c>
      <c r="W48" s="32">
        <f t="shared" si="8"/>
        <v>23763.21441846067</v>
      </c>
      <c r="X48" s="32">
        <f t="shared" si="8"/>
        <v>24260.960249596355</v>
      </c>
      <c r="Y48" s="32"/>
      <c r="Z48" s="7" t="str">
        <f t="shared" si="5"/>
        <v>Convert High Pressure Center Pivot to Low pressure systemOregon</v>
      </c>
      <c r="AA48" s="41">
        <f t="shared" si="6"/>
        <v>20621.816212156904</v>
      </c>
    </row>
    <row r="49" spans="1:71">
      <c r="A49" s="50">
        <f>INDEX([2]APPLIC!$B$8:$F$67,MATCH($C49,[2]APPLIC!$B$9:$B$67,0)+1,MATCH($D49,[2]APPLIC!$C$8:$F$8,0)+1)</f>
        <v>0.10500000000000001</v>
      </c>
      <c r="B49" s="77" t="s">
        <v>142</v>
      </c>
      <c r="C49" s="7" t="s">
        <v>148</v>
      </c>
      <c r="D49" s="7" t="s">
        <v>135</v>
      </c>
      <c r="E49" s="32">
        <f t="shared" si="7"/>
        <v>20223.870240892771</v>
      </c>
      <c r="F49" s="32">
        <f t="shared" si="7"/>
        <v>20428.35061129761</v>
      </c>
      <c r="G49" s="32">
        <f t="shared" si="7"/>
        <v>20633.843833366878</v>
      </c>
      <c r="H49" s="32">
        <f t="shared" si="7"/>
        <v>20864.465542014295</v>
      </c>
      <c r="I49" s="32">
        <f t="shared" si="7"/>
        <v>21277.646694240499</v>
      </c>
      <c r="J49" s="32">
        <f t="shared" si="7"/>
        <v>21534.655732256226</v>
      </c>
      <c r="K49" s="32">
        <f t="shared" si="7"/>
        <v>21794.684921912532</v>
      </c>
      <c r="L49" s="32">
        <f t="shared" si="7"/>
        <v>22074.15836414813</v>
      </c>
      <c r="M49" s="32">
        <f t="shared" si="7"/>
        <v>22340.475273484775</v>
      </c>
      <c r="N49" s="32">
        <f t="shared" si="7"/>
        <v>22817.664036645689</v>
      </c>
      <c r="O49" s="32">
        <f t="shared" si="8"/>
        <v>23088.379184380803</v>
      </c>
      <c r="P49" s="32">
        <f t="shared" si="8"/>
        <v>23361.094642978576</v>
      </c>
      <c r="Q49" s="32">
        <f t="shared" si="8"/>
        <v>23619.479171644289</v>
      </c>
      <c r="R49" s="32">
        <f t="shared" si="8"/>
        <v>23895.572016182647</v>
      </c>
      <c r="S49" s="32">
        <f t="shared" si="8"/>
        <v>24364.47971496094</v>
      </c>
      <c r="T49" s="32">
        <f t="shared" si="8"/>
        <v>24658.172935344865</v>
      </c>
      <c r="U49" s="32">
        <f t="shared" si="8"/>
        <v>24969.253758383937</v>
      </c>
      <c r="V49" s="32">
        <f t="shared" si="8"/>
        <v>25281.281568231243</v>
      </c>
      <c r="W49" s="32">
        <f t="shared" si="8"/>
        <v>25578.422984799105</v>
      </c>
      <c r="X49" s="32">
        <f t="shared" si="8"/>
        <v>26114.19029234898</v>
      </c>
      <c r="Y49" s="32"/>
      <c r="Z49" s="7" t="str">
        <f t="shared" si="5"/>
        <v>Convert wheel line systems to low pressure systems on alfalfa acreageOregon</v>
      </c>
      <c r="AA49" s="41">
        <f t="shared" si="6"/>
        <v>22197.061748496631</v>
      </c>
    </row>
    <row r="50" spans="1:71">
      <c r="A50" s="50">
        <f>INDEX([2]APPLIC!$B$8:$F$67,MATCH($C50,[2]APPLIC!$B$9:$B$67,0)+1,MATCH($D50,[2]APPLIC!$C$8:$F$8,0)+1)</f>
        <v>0.10500000000000001</v>
      </c>
      <c r="B50" s="77" t="s">
        <v>143</v>
      </c>
      <c r="C50" s="7" t="s">
        <v>149</v>
      </c>
      <c r="D50" s="7" t="s">
        <v>135</v>
      </c>
      <c r="E50" s="32">
        <f t="shared" si="7"/>
        <v>6580.7397591072304</v>
      </c>
      <c r="F50" s="32">
        <f t="shared" si="7"/>
        <v>6647.2765835355849</v>
      </c>
      <c r="G50" s="32">
        <f t="shared" si="7"/>
        <v>6714.1429845058565</v>
      </c>
      <c r="H50" s="32">
        <f t="shared" si="7"/>
        <v>6789.1860612924438</v>
      </c>
      <c r="I50" s="32">
        <f t="shared" si="7"/>
        <v>6923.6330095660142</v>
      </c>
      <c r="J50" s="32">
        <f t="shared" si="7"/>
        <v>7007.2623829141576</v>
      </c>
      <c r="K50" s="32">
        <f t="shared" si="7"/>
        <v>7091.8744975350119</v>
      </c>
      <c r="L50" s="32">
        <f t="shared" si="7"/>
        <v>7182.8136684764659</v>
      </c>
      <c r="M50" s="32">
        <f t="shared" si="7"/>
        <v>7269.4717736224602</v>
      </c>
      <c r="N50" s="32">
        <f t="shared" si="7"/>
        <v>7424.7464578904901</v>
      </c>
      <c r="O50" s="32">
        <f t="shared" si="8"/>
        <v>7512.8357264070009</v>
      </c>
      <c r="P50" s="32">
        <f t="shared" si="8"/>
        <v>7601.5758854339665</v>
      </c>
      <c r="Q50" s="32">
        <f t="shared" si="8"/>
        <v>7685.6528361202154</v>
      </c>
      <c r="R50" s="32">
        <f t="shared" si="8"/>
        <v>7775.4919785601633</v>
      </c>
      <c r="S50" s="32">
        <f t="shared" si="8"/>
        <v>7928.0720485441161</v>
      </c>
      <c r="T50" s="32">
        <f t="shared" si="8"/>
        <v>8023.6382596273315</v>
      </c>
      <c r="U50" s="32">
        <f t="shared" si="8"/>
        <v>8124.8623040898847</v>
      </c>
      <c r="V50" s="32">
        <f t="shared" si="8"/>
        <v>8226.3944930206344</v>
      </c>
      <c r="W50" s="32">
        <f t="shared" si="8"/>
        <v>8323.0827287932188</v>
      </c>
      <c r="X50" s="32">
        <f t="shared" si="8"/>
        <v>8497.4185596914122</v>
      </c>
      <c r="Y50" s="32"/>
      <c r="Z50" s="7" t="str">
        <f t="shared" si="5"/>
        <v>Convert hand line systems to low pressure systems on alfalfa acreageOregon</v>
      </c>
      <c r="AA50" s="41">
        <f t="shared" si="6"/>
        <v>7222.8057757377001</v>
      </c>
    </row>
    <row r="51" spans="1:71">
      <c r="E51" s="32"/>
      <c r="F51" s="32"/>
      <c r="G51" s="32"/>
      <c r="H51" s="32"/>
      <c r="I51" s="32"/>
      <c r="J51" s="32"/>
      <c r="K51" s="32"/>
      <c r="L51" s="32"/>
      <c r="M51" s="32"/>
      <c r="N51" s="32"/>
      <c r="O51" s="32"/>
      <c r="P51" s="32"/>
      <c r="Q51" s="32"/>
      <c r="R51" s="32"/>
      <c r="S51" s="32"/>
      <c r="T51" s="32"/>
      <c r="U51" s="32"/>
      <c r="V51" s="32"/>
      <c r="W51" s="32"/>
      <c r="X51" s="32"/>
      <c r="Y51" s="32"/>
    </row>
    <row r="52" spans="1:71">
      <c r="E52" s="32">
        <f>SUM(E35:E50)</f>
        <v>643792.5945335807</v>
      </c>
      <c r="F52" s="32">
        <f t="shared" ref="F52:X52" si="9">SUM(F35:F50)</f>
        <v>646533.79341282533</v>
      </c>
      <c r="G52" s="32">
        <f t="shared" si="9"/>
        <v>649349.73078144586</v>
      </c>
      <c r="H52" s="32">
        <f t="shared" si="9"/>
        <v>652513.60751979414</v>
      </c>
      <c r="I52" s="32">
        <f t="shared" si="9"/>
        <v>657685.22631801572</v>
      </c>
      <c r="J52" s="32">
        <f t="shared" si="9"/>
        <v>661340.96167098428</v>
      </c>
      <c r="K52" s="32">
        <f t="shared" si="9"/>
        <v>665025.90112623968</v>
      </c>
      <c r="L52" s="32">
        <f t="shared" si="9"/>
        <v>668951.4728362707</v>
      </c>
      <c r="M52" s="32">
        <f t="shared" si="9"/>
        <v>672832.24538308347</v>
      </c>
      <c r="N52" s="32">
        <f t="shared" si="9"/>
        <v>679019.49524588732</v>
      </c>
      <c r="O52" s="32">
        <f t="shared" si="9"/>
        <v>683045.65518491296</v>
      </c>
      <c r="P52" s="32">
        <f t="shared" si="9"/>
        <v>687080.06510810391</v>
      </c>
      <c r="Q52" s="32">
        <f t="shared" si="9"/>
        <v>691151.45781548345</v>
      </c>
      <c r="R52" s="32">
        <f t="shared" si="9"/>
        <v>695300.87260765885</v>
      </c>
      <c r="S52" s="32">
        <f t="shared" si="9"/>
        <v>701580.82382497797</v>
      </c>
      <c r="T52" s="32">
        <f t="shared" si="9"/>
        <v>706052.49062036257</v>
      </c>
      <c r="U52" s="32">
        <f t="shared" si="9"/>
        <v>710712.64079020906</v>
      </c>
      <c r="V52" s="32">
        <f t="shared" si="9"/>
        <v>715412.48126315139</v>
      </c>
      <c r="W52" s="32">
        <f t="shared" si="9"/>
        <v>720019.79393715935</v>
      </c>
      <c r="X52" s="32">
        <f t="shared" si="9"/>
        <v>727127.16578116314</v>
      </c>
      <c r="Y52" s="32"/>
      <c r="AA52" s="41">
        <f>MAX(E52:X52)*$AA$33</f>
        <v>618058.09091398865</v>
      </c>
    </row>
    <row r="53" spans="1:71">
      <c r="D53" s="32"/>
      <c r="E53" s="32"/>
      <c r="F53" s="32"/>
      <c r="G53" s="32"/>
      <c r="H53" s="32"/>
      <c r="I53" s="32"/>
      <c r="J53" s="32"/>
      <c r="K53" s="32"/>
      <c r="L53" s="32"/>
      <c r="M53" s="32"/>
      <c r="N53" s="32"/>
      <c r="O53" s="32"/>
      <c r="P53" s="32"/>
      <c r="Q53" s="32"/>
      <c r="R53" s="32"/>
      <c r="S53" s="32"/>
      <c r="T53" s="32"/>
      <c r="U53" s="32"/>
      <c r="V53" s="32"/>
      <c r="W53" s="32"/>
      <c r="X53" s="32"/>
    </row>
    <row r="55" spans="1:71" ht="15">
      <c r="A55" s="49" t="str">
        <f>CONCATENATE("# UNITS ACHIEVABLE BY YEAR FOR MEASURE - ",C56)</f>
        <v># UNITS ACHIEVABLE BY YEAR FOR MEASURE - Irrigation Pressure - Retro</v>
      </c>
      <c r="E55" s="57" t="s">
        <v>32</v>
      </c>
      <c r="F55"/>
    </row>
    <row r="56" spans="1:71" ht="15">
      <c r="C56" s="57" t="str">
        <f>C34</f>
        <v>Irrigation Pressure - Retro</v>
      </c>
      <c r="E56" s="61">
        <f>VLOOKUP($C$56,[2]ACHIEV!$B$12:$X$106,MATCH(E$11,$E$11:$Y$11,0)+2,FALSE)</f>
        <v>2.5643970768378654E-3</v>
      </c>
      <c r="F56" s="61">
        <f>VLOOKUP($C$56,[2]ACHIEV!$B$12:$X$106,MATCH(F$11,$E$11:$Y$11,0)+2,FALSE)</f>
        <v>5.1260615529385989E-3</v>
      </c>
      <c r="G56" s="61">
        <f>VLOOKUP($C$56,[2]ACHIEV!$B$12:$X$106,MATCH(G$11,$E$11:$Y$11,0)+2,FALSE)</f>
        <v>9.1015544176433795E-3</v>
      </c>
      <c r="H56" s="61">
        <f>VLOOKUP($C$56,[2]ACHIEV!$B$12:$X$106,MATCH(H$11,$E$11:$Y$11,0)+2,FALSE)</f>
        <v>1.4804925730045659E-2</v>
      </c>
      <c r="I56" s="61">
        <f>VLOOKUP($C$56,[2]ACHIEV!$B$12:$X$106,MATCH(I$11,$E$11:$Y$11,0)+2,FALSE)</f>
        <v>2.2471809420486211E-2</v>
      </c>
      <c r="J56" s="61">
        <f>VLOOKUP($C$56,[2]ACHIEV!$B$12:$X$106,MATCH(J$11,$E$11:$Y$11,0)+2,FALSE)</f>
        <v>3.2184432813882391E-2</v>
      </c>
      <c r="K56" s="61">
        <f>VLOOKUP($C$56,[2]ACHIEV!$B$12:$X$106,MATCH(K$11,$E$11:$Y$11,0)+2,FALSE)</f>
        <v>4.3779667172004086E-2</v>
      </c>
      <c r="L56" s="61">
        <f>VLOOKUP($C$56,[2]ACHIEV!$B$12:$X$106,MATCH(L$11,$E$11:$Y$11,0)+2,FALSE)</f>
        <v>5.675426075474499E-2</v>
      </c>
      <c r="M56" s="61">
        <f>VLOOKUP($C$56,[2]ACHIEV!$B$12:$X$106,MATCH(M$11,$E$11:$Y$11,0)+2,FALSE)</f>
        <v>7.0195239068707532E-2</v>
      </c>
      <c r="N56" s="61">
        <f>VLOOKUP($C$56,[2]ACHIEV!$B$12:$X$106,MATCH(N$11,$E$11:$Y$11,0)+2,FALSE)</f>
        <v>8.2776861842756788E-2</v>
      </c>
      <c r="O56" s="61">
        <f>VLOOKUP($C$56,[2]ACHIEV!$B$12:$X$106,MATCH(O$11,$E$11:$Y$11,0)+2,FALSE)</f>
        <v>9.2870259507494834E-2</v>
      </c>
      <c r="P56" s="61">
        <f>VLOOKUP($C$56,[2]ACHIEV!$B$12:$X$106,MATCH(P$11,$E$11:$Y$11,0)+2,FALSE)</f>
        <v>9.8796470678915727E-2</v>
      </c>
      <c r="Q56" s="61">
        <f>VLOOKUP($C$56,[2]ACHIEV!$B$12:$X$106,MATCH(Q$11,$E$11:$Y$11,0)+2,FALSE)</f>
        <v>9.9208932889988999E-2</v>
      </c>
      <c r="R56" s="61">
        <f>VLOOKUP($C$56,[2]ACHIEV!$B$12:$X$106,MATCH(R$11,$E$11:$Y$11,0)+2,FALSE)</f>
        <v>9.3521150494244254E-2</v>
      </c>
      <c r="S56" s="61">
        <f>VLOOKUP($C$56,[2]ACHIEV!$B$12:$X$106,MATCH(S$11,$E$11:$Y$11,0)+2,FALSE)</f>
        <v>8.2226007896862296E-2</v>
      </c>
      <c r="T56" s="61">
        <f>VLOOKUP($C$56,[2]ACHIEV!$B$12:$X$106,MATCH(T$11,$E$11:$Y$11,0)+2,FALSE)</f>
        <v>6.6933566027365665E-2</v>
      </c>
      <c r="U56" s="61">
        <f>VLOOKUP($C$56,[2]ACHIEV!$B$12:$X$106,MATCH(U$11,$E$11:$Y$11,0)+2,FALSE)</f>
        <v>5.0029565143448806E-2</v>
      </c>
      <c r="V56" s="61">
        <f>VLOOKUP($C$56,[2]ACHIEV!$B$12:$X$106,MATCH(V$11,$E$11:$Y$11,0)+2,FALSE)</f>
        <v>3.402486521893211E-2</v>
      </c>
      <c r="W56" s="61">
        <f>VLOOKUP($C$56,[2]ACHIEV!$B$12:$X$106,MATCH(W$11,$E$11:$Y$11,0)+2,FALSE)</f>
        <v>2.0846059340774659E-2</v>
      </c>
      <c r="X56" s="61">
        <f>VLOOKUP($C$56,[2]ACHIEV!$B$12:$X$106,MATCH(X$11,$E$11:$Y$11,0)+2,FALSE)</f>
        <v>0.01</v>
      </c>
      <c r="Y56" s="61"/>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71">
      <c r="B57" s="7" t="str">
        <f>C57&amp;D57</f>
        <v>Convert Medium Pressure Center Pivot to Low pressure systemIdaho</v>
      </c>
      <c r="C57" s="7" t="s">
        <v>146</v>
      </c>
      <c r="D57" s="7" t="str">
        <f t="shared" ref="D57:D64" si="10">D35</f>
        <v>Idaho</v>
      </c>
      <c r="E57" s="32">
        <f t="shared" ref="E57:X57" si="11">E35*E$56*$AA$33</f>
        <v>546.4436072862735</v>
      </c>
      <c r="F57" s="32">
        <f t="shared" si="11"/>
        <v>1092.4415115971933</v>
      </c>
      <c r="G57" s="32">
        <f t="shared" si="11"/>
        <v>1940.0164107031899</v>
      </c>
      <c r="H57" s="32">
        <f t="shared" si="11"/>
        <v>3157.6342277738549</v>
      </c>
      <c r="I57" s="32">
        <f t="shared" si="11"/>
        <v>4797.071540067268</v>
      </c>
      <c r="J57" s="32">
        <f t="shared" si="11"/>
        <v>6878.127710635511</v>
      </c>
      <c r="K57" s="32">
        <f t="shared" si="11"/>
        <v>9368.0415879247012</v>
      </c>
      <c r="L57" s="32">
        <f t="shared" si="11"/>
        <v>12161.858919980106</v>
      </c>
      <c r="M57" s="32">
        <f t="shared" si="11"/>
        <v>15066.001874566942</v>
      </c>
      <c r="N57" s="32">
        <f t="shared" si="11"/>
        <v>17796.961597682566</v>
      </c>
      <c r="O57" s="32">
        <f t="shared" si="11"/>
        <v>20003.552137522671</v>
      </c>
      <c r="P57" s="32">
        <f t="shared" si="11"/>
        <v>21321.248673543978</v>
      </c>
      <c r="Q57" s="32">
        <f t="shared" si="11"/>
        <v>21453.7594128569</v>
      </c>
      <c r="R57" s="32">
        <f t="shared" si="11"/>
        <v>20266.824174648176</v>
      </c>
      <c r="S57" s="32">
        <f t="shared" si="11"/>
        <v>17858.498753973057</v>
      </c>
      <c r="T57" s="32">
        <f t="shared" si="11"/>
        <v>14569.986868461165</v>
      </c>
      <c r="U57" s="32">
        <f t="shared" si="11"/>
        <v>10915.905897718421</v>
      </c>
      <c r="V57" s="32">
        <f t="shared" si="11"/>
        <v>7441.779444085405</v>
      </c>
      <c r="W57" s="32">
        <f t="shared" si="11"/>
        <v>4570.6941437736259</v>
      </c>
      <c r="X57" s="32">
        <f t="shared" si="11"/>
        <v>2198.1507819412873</v>
      </c>
      <c r="Y57" s="32"/>
      <c r="AA57" s="32">
        <f t="shared" ref="AA57:AA59" si="12">SUM(E57:X57)</f>
        <v>213404.99927674228</v>
      </c>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71">
      <c r="B58" s="7" t="str">
        <f t="shared" ref="B58:B72" si="13">C58&amp;D58</f>
        <v>Convert High Pressure Center Pivot to Low pressure systemIdaho</v>
      </c>
      <c r="C58" s="7" t="s">
        <v>147</v>
      </c>
      <c r="D58" s="7" t="str">
        <f t="shared" si="10"/>
        <v>Idaho</v>
      </c>
      <c r="E58" s="32">
        <f t="shared" ref="E58:X58" si="14">E36*E$56*$AA$33</f>
        <v>128.23457925100774</v>
      </c>
      <c r="F58" s="32">
        <f t="shared" si="14"/>
        <v>256.36456484815386</v>
      </c>
      <c r="G58" s="32">
        <f t="shared" si="14"/>
        <v>455.26598691865246</v>
      </c>
      <c r="H58" s="32">
        <f t="shared" si="14"/>
        <v>741.00582608706543</v>
      </c>
      <c r="I58" s="32">
        <f t="shared" si="14"/>
        <v>1125.7345540785911</v>
      </c>
      <c r="J58" s="32">
        <f t="shared" si="14"/>
        <v>1614.0985112594947</v>
      </c>
      <c r="K58" s="32">
        <f t="shared" si="14"/>
        <v>2198.409598749538</v>
      </c>
      <c r="L58" s="32">
        <f t="shared" si="14"/>
        <v>2854.0380758754663</v>
      </c>
      <c r="M58" s="32">
        <f t="shared" si="14"/>
        <v>3535.556799675122</v>
      </c>
      <c r="N58" s="32">
        <f t="shared" si="14"/>
        <v>4176.4344060293197</v>
      </c>
      <c r="O58" s="32">
        <f t="shared" si="14"/>
        <v>4694.2576647931683</v>
      </c>
      <c r="P58" s="32">
        <f t="shared" si="14"/>
        <v>5003.4830974345259</v>
      </c>
      <c r="Q58" s="32">
        <f t="shared" si="14"/>
        <v>5034.579552174695</v>
      </c>
      <c r="R58" s="32">
        <f t="shared" si="14"/>
        <v>4756.0400307302589</v>
      </c>
      <c r="S58" s="32">
        <f t="shared" si="14"/>
        <v>4190.8754045879878</v>
      </c>
      <c r="T58" s="32">
        <f t="shared" si="14"/>
        <v>3419.1563609801951</v>
      </c>
      <c r="U58" s="32">
        <f t="shared" si="14"/>
        <v>2561.6487799887168</v>
      </c>
      <c r="V58" s="32">
        <f t="shared" si="14"/>
        <v>1746.3713421962509</v>
      </c>
      <c r="W58" s="32">
        <f t="shared" si="14"/>
        <v>1072.6102979274056</v>
      </c>
      <c r="X58" s="32">
        <f t="shared" si="14"/>
        <v>515.84269061609257</v>
      </c>
      <c r="Y58" s="32"/>
      <c r="AA58" s="32">
        <f t="shared" si="12"/>
        <v>50080.008124201711</v>
      </c>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row>
    <row r="59" spans="1:71">
      <c r="B59" s="7" t="str">
        <f t="shared" si="13"/>
        <v>Convert wheel line systems to low pressure systems on alfalfa acreageIdaho</v>
      </c>
      <c r="C59" s="7" t="s">
        <v>148</v>
      </c>
      <c r="D59" s="7" t="str">
        <f t="shared" si="10"/>
        <v>Idaho</v>
      </c>
      <c r="E59" s="32">
        <f t="shared" ref="E59:X59" si="15">E37*E$56*$AA$33</f>
        <v>125.36850303610508</v>
      </c>
      <c r="F59" s="32">
        <f t="shared" si="15"/>
        <v>250.63475011372924</v>
      </c>
      <c r="G59" s="32">
        <f t="shared" si="15"/>
        <v>445.09067364369201</v>
      </c>
      <c r="H59" s="32">
        <f t="shared" si="15"/>
        <v>724.44415305271684</v>
      </c>
      <c r="I59" s="32">
        <f t="shared" si="15"/>
        <v>1100.5740938612009</v>
      </c>
      <c r="J59" s="32">
        <f t="shared" si="15"/>
        <v>1578.0229895191735</v>
      </c>
      <c r="K59" s="32">
        <f t="shared" si="15"/>
        <v>2149.2745721569331</v>
      </c>
      <c r="L59" s="32">
        <f t="shared" si="15"/>
        <v>2790.2495822143151</v>
      </c>
      <c r="M59" s="32">
        <f t="shared" si="15"/>
        <v>3456.5361851952198</v>
      </c>
      <c r="N59" s="32">
        <f t="shared" si="15"/>
        <v>4083.0900102810274</v>
      </c>
      <c r="O59" s="32">
        <f t="shared" si="15"/>
        <v>4589.3397844657939</v>
      </c>
      <c r="P59" s="32">
        <f t="shared" si="15"/>
        <v>4891.6539482223252</v>
      </c>
      <c r="Q59" s="32">
        <f t="shared" si="15"/>
        <v>4922.0553891072686</v>
      </c>
      <c r="R59" s="32">
        <f t="shared" si="15"/>
        <v>4649.7412984474531</v>
      </c>
      <c r="S59" s="32">
        <f t="shared" si="15"/>
        <v>4097.2082487641364</v>
      </c>
      <c r="T59" s="32">
        <f t="shared" si="15"/>
        <v>3342.7373265943397</v>
      </c>
      <c r="U59" s="32">
        <f t="shared" si="15"/>
        <v>2504.3952631749016</v>
      </c>
      <c r="V59" s="32">
        <f t="shared" si="15"/>
        <v>1707.3394882650346</v>
      </c>
      <c r="W59" s="32">
        <f t="shared" si="15"/>
        <v>1048.637178658757</v>
      </c>
      <c r="X59" s="32">
        <f t="shared" si="15"/>
        <v>504.31347225048881</v>
      </c>
      <c r="Y59" s="32"/>
      <c r="AA59" s="32">
        <f t="shared" si="12"/>
        <v>48960.706911024608</v>
      </c>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row r="60" spans="1:71">
      <c r="B60" s="7" t="str">
        <f t="shared" si="13"/>
        <v>Convert hand line systems to low pressure systems on alfalfa acreageIdaho</v>
      </c>
      <c r="C60" s="7" t="s">
        <v>149</v>
      </c>
      <c r="D60" s="7" t="str">
        <f t="shared" si="10"/>
        <v>Idaho</v>
      </c>
      <c r="E60" s="32">
        <f t="shared" ref="E60:X60" si="16">E38*E$56*$AA$33</f>
        <v>42.467089648216238</v>
      </c>
      <c r="F60" s="32">
        <f t="shared" si="16"/>
        <v>84.899541306421369</v>
      </c>
      <c r="G60" s="32">
        <f t="shared" si="16"/>
        <v>150.76917312929942</v>
      </c>
      <c r="H60" s="32">
        <f t="shared" si="16"/>
        <v>245.39684249045979</v>
      </c>
      <c r="I60" s="32">
        <f t="shared" si="16"/>
        <v>372.80638738302372</v>
      </c>
      <c r="J60" s="32">
        <f t="shared" si="16"/>
        <v>534.53652344845693</v>
      </c>
      <c r="K60" s="32">
        <f t="shared" si="16"/>
        <v>728.04120432174341</v>
      </c>
      <c r="L60" s="32">
        <f t="shared" si="16"/>
        <v>945.16386715304418</v>
      </c>
      <c r="M60" s="32">
        <f t="shared" si="16"/>
        <v>1170.8605311073609</v>
      </c>
      <c r="N60" s="32">
        <f t="shared" si="16"/>
        <v>1383.098189011667</v>
      </c>
      <c r="O60" s="32">
        <f t="shared" si="16"/>
        <v>1554.5842802071738</v>
      </c>
      <c r="P60" s="32">
        <f t="shared" si="16"/>
        <v>1656.9896083658484</v>
      </c>
      <c r="Q60" s="32">
        <f t="shared" si="16"/>
        <v>1667.2877349624785</v>
      </c>
      <c r="R60" s="32">
        <f t="shared" si="16"/>
        <v>1575.0445748348313</v>
      </c>
      <c r="S60" s="32">
        <f t="shared" si="16"/>
        <v>1387.8805744180268</v>
      </c>
      <c r="T60" s="32">
        <f t="shared" si="16"/>
        <v>1132.3125209370833</v>
      </c>
      <c r="U60" s="32">
        <f t="shared" si="16"/>
        <v>848.33411566849031</v>
      </c>
      <c r="V60" s="32">
        <f t="shared" si="16"/>
        <v>578.34094969778675</v>
      </c>
      <c r="W60" s="32">
        <f t="shared" si="16"/>
        <v>355.2133749393895</v>
      </c>
      <c r="X60" s="32">
        <f t="shared" si="16"/>
        <v>170.83019193981193</v>
      </c>
      <c r="Y60" s="32"/>
      <c r="AA60" s="32">
        <f>SUM(E60:X60)</f>
        <v>16584.857274970615</v>
      </c>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row>
    <row r="61" spans="1:71">
      <c r="B61" s="7" t="str">
        <f t="shared" si="13"/>
        <v>Convert Medium Pressure Center Pivot to Low pressure systemMontana</v>
      </c>
      <c r="C61" s="7" t="s">
        <v>146</v>
      </c>
      <c r="D61" s="7" t="str">
        <f t="shared" si="10"/>
        <v>Montana</v>
      </c>
      <c r="E61" s="32">
        <f t="shared" ref="E61:X61" si="17">E39*E$56*$AA$33</f>
        <v>23.801620192261538</v>
      </c>
      <c r="F61" s="32">
        <f t="shared" si="17"/>
        <v>48.09401391499312</v>
      </c>
      <c r="G61" s="32">
        <f t="shared" si="17"/>
        <v>86.297641096574949</v>
      </c>
      <c r="H61" s="32">
        <f t="shared" si="17"/>
        <v>141.88429647807871</v>
      </c>
      <c r="I61" s="32">
        <f t="shared" si="17"/>
        <v>217.67750080933627</v>
      </c>
      <c r="J61" s="32">
        <f t="shared" si="17"/>
        <v>314.14776443230346</v>
      </c>
      <c r="K61" s="32">
        <f t="shared" si="17"/>
        <v>430.59765513927931</v>
      </c>
      <c r="L61" s="32">
        <f t="shared" si="17"/>
        <v>562.6330974927647</v>
      </c>
      <c r="M61" s="32">
        <f t="shared" si="17"/>
        <v>701.54874694097214</v>
      </c>
      <c r="N61" s="32">
        <f t="shared" si="17"/>
        <v>834.18503673711109</v>
      </c>
      <c r="O61" s="32">
        <f t="shared" si="17"/>
        <v>943.82975567139624</v>
      </c>
      <c r="P61" s="32">
        <f t="shared" si="17"/>
        <v>1012.6859107986164</v>
      </c>
      <c r="Q61" s="32">
        <f t="shared" si="17"/>
        <v>1025.7472669033095</v>
      </c>
      <c r="R61" s="32">
        <f t="shared" si="17"/>
        <v>975.41799328672528</v>
      </c>
      <c r="S61" s="32">
        <f t="shared" si="17"/>
        <v>865.1808633973327</v>
      </c>
      <c r="T61" s="32">
        <f t="shared" si="17"/>
        <v>710.49666460099979</v>
      </c>
      <c r="U61" s="32">
        <f t="shared" si="17"/>
        <v>535.77795257686239</v>
      </c>
      <c r="V61" s="32">
        <f t="shared" si="17"/>
        <v>367.62221229765169</v>
      </c>
      <c r="W61" s="32">
        <f t="shared" si="17"/>
        <v>227.23882543677743</v>
      </c>
      <c r="X61" s="32">
        <f t="shared" si="17"/>
        <v>109.97838676928254</v>
      </c>
      <c r="Y61" s="32"/>
      <c r="AA61" s="32">
        <f t="shared" ref="AA61:AA62" si="18">SUM(E61:X61)</f>
        <v>10134.843204972631</v>
      </c>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row>
    <row r="62" spans="1:71">
      <c r="B62" s="7" t="str">
        <f t="shared" si="13"/>
        <v>Convert High Pressure Center Pivot to Low pressure systemMontana</v>
      </c>
      <c r="C62" s="7" t="s">
        <v>147</v>
      </c>
      <c r="D62" s="7" t="str">
        <f t="shared" si="10"/>
        <v>Montana</v>
      </c>
      <c r="E62" s="32">
        <f t="shared" ref="E62:X62" si="19">E40*E$56*$AA$33</f>
        <v>5.8483695821736648</v>
      </c>
      <c r="F62" s="32">
        <f t="shared" si="19"/>
        <v>11.817328643725302</v>
      </c>
      <c r="G62" s="32">
        <f t="shared" si="19"/>
        <v>21.204459827765803</v>
      </c>
      <c r="H62" s="32">
        <f t="shared" si="19"/>
        <v>34.862828538886205</v>
      </c>
      <c r="I62" s="32">
        <f t="shared" si="19"/>
        <v>53.486210777819529</v>
      </c>
      <c r="J62" s="32">
        <f t="shared" si="19"/>
        <v>77.190217093333658</v>
      </c>
      <c r="K62" s="32">
        <f t="shared" si="19"/>
        <v>105.80347926443361</v>
      </c>
      <c r="L62" s="32">
        <f t="shared" si="19"/>
        <v>138.24631544917474</v>
      </c>
      <c r="M62" s="32">
        <f t="shared" si="19"/>
        <v>172.37970856099898</v>
      </c>
      <c r="N62" s="32">
        <f t="shared" si="19"/>
        <v>204.97018082592112</v>
      </c>
      <c r="O62" s="32">
        <f t="shared" si="19"/>
        <v>231.91132323057715</v>
      </c>
      <c r="P62" s="32">
        <f t="shared" si="19"/>
        <v>248.83018169225414</v>
      </c>
      <c r="Q62" s="32">
        <f t="shared" si="19"/>
        <v>252.03952782615556</v>
      </c>
      <c r="R62" s="32">
        <f t="shared" si="19"/>
        <v>239.67296662004807</v>
      </c>
      <c r="S62" s="32">
        <f t="shared" si="19"/>
        <v>212.58626109061265</v>
      </c>
      <c r="T62" s="32">
        <f t="shared" si="19"/>
        <v>174.57832903489904</v>
      </c>
      <c r="U62" s="32">
        <f t="shared" si="19"/>
        <v>131.64765487975299</v>
      </c>
      <c r="V62" s="32">
        <f t="shared" si="19"/>
        <v>90.329588774464526</v>
      </c>
      <c r="W62" s="32">
        <f t="shared" si="19"/>
        <v>55.835553371505448</v>
      </c>
      <c r="X62" s="32">
        <f t="shared" si="19"/>
        <v>27.023128958553848</v>
      </c>
      <c r="Y62" s="32"/>
      <c r="AA62" s="32">
        <f t="shared" si="18"/>
        <v>2490.2636140430559</v>
      </c>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row>
    <row r="63" spans="1:71">
      <c r="B63" s="7" t="str">
        <f t="shared" si="13"/>
        <v>Convert wheel line systems to low pressure systems on alfalfa acreageMontana</v>
      </c>
      <c r="C63" s="7" t="s">
        <v>148</v>
      </c>
      <c r="D63" s="7" t="str">
        <f t="shared" si="10"/>
        <v>Montana</v>
      </c>
      <c r="E63" s="32">
        <f t="shared" ref="E63:X63" si="20">E41*E$56*$AA$33</f>
        <v>11.183436927086106</v>
      </c>
      <c r="F63" s="32">
        <f t="shared" si="20"/>
        <v>22.597468863216157</v>
      </c>
      <c r="G63" s="32">
        <f t="shared" si="20"/>
        <v>40.547837431404687</v>
      </c>
      <c r="H63" s="32">
        <f t="shared" si="20"/>
        <v>66.665801226526142</v>
      </c>
      <c r="I63" s="32">
        <f t="shared" si="20"/>
        <v>102.27802061720244</v>
      </c>
      <c r="J63" s="32">
        <f t="shared" si="20"/>
        <v>147.60556974419796</v>
      </c>
      <c r="K63" s="32">
        <f t="shared" si="20"/>
        <v>202.32075288584588</v>
      </c>
      <c r="L63" s="32">
        <f t="shared" si="20"/>
        <v>264.35896834229607</v>
      </c>
      <c r="M63" s="32">
        <f t="shared" si="20"/>
        <v>329.62992011953389</v>
      </c>
      <c r="N63" s="32">
        <f t="shared" si="20"/>
        <v>391.95044994884779</v>
      </c>
      <c r="O63" s="32">
        <f t="shared" si="20"/>
        <v>443.46815289027745</v>
      </c>
      <c r="P63" s="32">
        <f t="shared" si="20"/>
        <v>475.82092810838151</v>
      </c>
      <c r="Q63" s="32">
        <f t="shared" si="20"/>
        <v>481.95794109317546</v>
      </c>
      <c r="R63" s="32">
        <f t="shared" si="20"/>
        <v>458.31021238686981</v>
      </c>
      <c r="S63" s="32">
        <f t="shared" si="20"/>
        <v>406.51415904333135</v>
      </c>
      <c r="T63" s="32">
        <f t="shared" si="20"/>
        <v>333.83419159228907</v>
      </c>
      <c r="U63" s="32">
        <f t="shared" si="20"/>
        <v>251.74080130539852</v>
      </c>
      <c r="V63" s="32">
        <f t="shared" si="20"/>
        <v>172.73109103569851</v>
      </c>
      <c r="W63" s="32">
        <f t="shared" si="20"/>
        <v>106.77050768516888</v>
      </c>
      <c r="X63" s="32">
        <f t="shared" si="20"/>
        <v>51.674480217814484</v>
      </c>
      <c r="Y63" s="32"/>
      <c r="AA63" s="32">
        <f>SUM(E63:X63)</f>
        <v>4761.9606914645619</v>
      </c>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row>
    <row r="64" spans="1:71">
      <c r="B64" s="7" t="str">
        <f t="shared" si="13"/>
        <v>Convert hand line systems to low pressure systems on alfalfa acreageMontana</v>
      </c>
      <c r="C64" s="7" t="s">
        <v>149</v>
      </c>
      <c r="D64" s="7" t="str">
        <f t="shared" si="10"/>
        <v>Montana</v>
      </c>
      <c r="E64" s="32">
        <f t="shared" ref="E64:X64" si="21">E42*E$56*$AA$33</f>
        <v>2.6790265981599086</v>
      </c>
      <c r="F64" s="32">
        <f t="shared" si="21"/>
        <v>5.4132929376139653</v>
      </c>
      <c r="G64" s="32">
        <f t="shared" si="21"/>
        <v>9.7133587540964292</v>
      </c>
      <c r="H64" s="32">
        <f t="shared" si="21"/>
        <v>15.969997044552551</v>
      </c>
      <c r="I64" s="32">
        <f t="shared" si="21"/>
        <v>24.50101336709789</v>
      </c>
      <c r="J64" s="32">
        <f t="shared" si="21"/>
        <v>35.35936670984448</v>
      </c>
      <c r="K64" s="32">
        <f t="shared" si="21"/>
        <v>48.46655655813187</v>
      </c>
      <c r="L64" s="32">
        <f t="shared" si="21"/>
        <v>63.328001245825909</v>
      </c>
      <c r="M64" s="32">
        <f t="shared" si="21"/>
        <v>78.963857828959007</v>
      </c>
      <c r="N64" s="32">
        <f t="shared" si="21"/>
        <v>93.892931790093385</v>
      </c>
      <c r="O64" s="32">
        <f t="shared" si="21"/>
        <v>106.23415545470003</v>
      </c>
      <c r="P64" s="32">
        <f t="shared" si="21"/>
        <v>113.98436193403971</v>
      </c>
      <c r="Q64" s="32">
        <f t="shared" si="21"/>
        <v>115.45450220725891</v>
      </c>
      <c r="R64" s="32">
        <f t="shared" si="21"/>
        <v>109.78961630471288</v>
      </c>
      <c r="S64" s="32">
        <f t="shared" si="21"/>
        <v>97.381712948011582</v>
      </c>
      <c r="T64" s="32">
        <f t="shared" si="21"/>
        <v>79.971003948245126</v>
      </c>
      <c r="U64" s="32">
        <f t="shared" si="21"/>
        <v>60.305280651766004</v>
      </c>
      <c r="V64" s="32">
        <f t="shared" si="21"/>
        <v>41.378262356274476</v>
      </c>
      <c r="W64" s="32">
        <f t="shared" si="21"/>
        <v>25.57720241572763</v>
      </c>
      <c r="X64" s="32">
        <f t="shared" si="21"/>
        <v>12.378780141757682</v>
      </c>
      <c r="Y64" s="32"/>
      <c r="AA64" s="32">
        <f t="shared" ref="AA64" si="22">SUM(E64:X64)</f>
        <v>1140.7422811968695</v>
      </c>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row>
    <row r="65" spans="1:80">
      <c r="B65" s="7" t="str">
        <f t="shared" si="13"/>
        <v>Convert Medium Pressure Center Pivot to Low pressure systemWashington</v>
      </c>
      <c r="C65" s="7" t="s">
        <v>146</v>
      </c>
      <c r="D65" s="7" t="str">
        <f t="shared" ref="D65" si="23">D43</f>
        <v>Washington</v>
      </c>
      <c r="E65" s="32">
        <f t="shared" ref="E65:X65" si="24">E43*E$56*$AA$33</f>
        <v>181.33390061376906</v>
      </c>
      <c r="F65" s="32">
        <f t="shared" si="24"/>
        <v>366.33932149010087</v>
      </c>
      <c r="G65" s="32">
        <f t="shared" si="24"/>
        <v>657.5623145605349</v>
      </c>
      <c r="H65" s="32">
        <f t="shared" si="24"/>
        <v>1081.5668563996512</v>
      </c>
      <c r="I65" s="32">
        <f t="shared" si="24"/>
        <v>1671.4052419453433</v>
      </c>
      <c r="J65" s="32">
        <f t="shared" si="24"/>
        <v>2423.4926597698109</v>
      </c>
      <c r="K65" s="32">
        <f t="shared" si="24"/>
        <v>3335.9766990862545</v>
      </c>
      <c r="L65" s="32">
        <f t="shared" si="24"/>
        <v>4377.7729653729948</v>
      </c>
      <c r="M65" s="32">
        <f t="shared" si="24"/>
        <v>5478.6709915780875</v>
      </c>
      <c r="N65" s="32">
        <f t="shared" si="24"/>
        <v>6587.8141881666843</v>
      </c>
      <c r="O65" s="32">
        <f t="shared" si="24"/>
        <v>7476.7787530234009</v>
      </c>
      <c r="P65" s="32">
        <f t="shared" si="24"/>
        <v>8042.5535474529834</v>
      </c>
      <c r="Q65" s="32">
        <f t="shared" si="24"/>
        <v>8168.4078878961473</v>
      </c>
      <c r="R65" s="32">
        <f t="shared" si="24"/>
        <v>7784.6938661655531</v>
      </c>
      <c r="S65" s="32">
        <f t="shared" si="24"/>
        <v>6967.2102208819251</v>
      </c>
      <c r="T65" s="32">
        <f t="shared" si="24"/>
        <v>5738.0064051291265</v>
      </c>
      <c r="U65" s="32">
        <f t="shared" si="24"/>
        <v>4340.2687507296923</v>
      </c>
      <c r="V65" s="32">
        <f t="shared" si="24"/>
        <v>2986.811823709385</v>
      </c>
      <c r="W65" s="32">
        <f t="shared" si="24"/>
        <v>1850.8282119563892</v>
      </c>
      <c r="X65" s="32">
        <f t="shared" si="24"/>
        <v>904.58075305263981</v>
      </c>
      <c r="Y65" s="32"/>
      <c r="AA65" s="32"/>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row>
    <row r="66" spans="1:80">
      <c r="B66" s="7" t="str">
        <f t="shared" si="13"/>
        <v>Convert High Pressure Center Pivot to Low pressure systemWashington</v>
      </c>
      <c r="C66" s="7" t="s">
        <v>147</v>
      </c>
      <c r="D66" s="7" t="str">
        <f t="shared" ref="D66" si="25">D44</f>
        <v>Washington</v>
      </c>
      <c r="E66" s="32">
        <f t="shared" ref="E66:X66" si="26">E44*E$56*$AA$33</f>
        <v>63.883561821080733</v>
      </c>
      <c r="F66" s="32">
        <f t="shared" si="26"/>
        <v>129.06059271152407</v>
      </c>
      <c r="G66" s="32">
        <f t="shared" si="26"/>
        <v>231.65785675627362</v>
      </c>
      <c r="H66" s="32">
        <f t="shared" si="26"/>
        <v>381.03378850050831</v>
      </c>
      <c r="I66" s="32">
        <f t="shared" si="26"/>
        <v>588.83264376096531</v>
      </c>
      <c r="J66" s="32">
        <f t="shared" si="26"/>
        <v>853.79150081319233</v>
      </c>
      <c r="K66" s="32">
        <f t="shared" si="26"/>
        <v>1175.257759130669</v>
      </c>
      <c r="L66" s="32">
        <f t="shared" si="26"/>
        <v>1542.2804501831029</v>
      </c>
      <c r="M66" s="32">
        <f t="shared" si="26"/>
        <v>1930.124570216544</v>
      </c>
      <c r="N66" s="32">
        <f t="shared" si="26"/>
        <v>2320.8734468902885</v>
      </c>
      <c r="O66" s="32">
        <f t="shared" si="26"/>
        <v>2634.0538425226209</v>
      </c>
      <c r="P66" s="32">
        <f t="shared" si="26"/>
        <v>2833.3751439142202</v>
      </c>
      <c r="Q66" s="32">
        <f t="shared" si="26"/>
        <v>2877.7133703072936</v>
      </c>
      <c r="R66" s="32">
        <f t="shared" si="26"/>
        <v>2742.5317062837908</v>
      </c>
      <c r="S66" s="32">
        <f t="shared" si="26"/>
        <v>2454.5338922267661</v>
      </c>
      <c r="T66" s="32">
        <f t="shared" si="26"/>
        <v>2021.4879053011989</v>
      </c>
      <c r="U66" s="32">
        <f t="shared" si="26"/>
        <v>1529.0677921715178</v>
      </c>
      <c r="V66" s="32">
        <f t="shared" si="26"/>
        <v>1052.2476886122031</v>
      </c>
      <c r="W66" s="32">
        <f t="shared" si="26"/>
        <v>652.04298864422208</v>
      </c>
      <c r="X66" s="32">
        <f t="shared" si="26"/>
        <v>318.68194675237766</v>
      </c>
      <c r="Y66" s="32"/>
      <c r="AA66" s="32"/>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row>
    <row r="67" spans="1:80">
      <c r="B67" s="7" t="str">
        <f t="shared" si="13"/>
        <v>Convert wheel line systems to low pressure systems on alfalfa acreageWashington</v>
      </c>
      <c r="C67" s="7" t="s">
        <v>148</v>
      </c>
      <c r="D67" s="7" t="str">
        <f t="shared" ref="D67" si="27">D45</f>
        <v>Washington</v>
      </c>
      <c r="E67" s="32">
        <f t="shared" ref="E67:X67" si="28">E45*E$56*$AA$33</f>
        <v>46.246545235129204</v>
      </c>
      <c r="F67" s="32">
        <f t="shared" si="28"/>
        <v>93.429457731590077</v>
      </c>
      <c r="G67" s="32">
        <f t="shared" si="28"/>
        <v>167.7016003202379</v>
      </c>
      <c r="H67" s="32">
        <f t="shared" si="28"/>
        <v>275.83772466153493</v>
      </c>
      <c r="I67" s="32">
        <f t="shared" si="28"/>
        <v>426.26733261804713</v>
      </c>
      <c r="J67" s="32">
        <f t="shared" si="28"/>
        <v>618.07617074188636</v>
      </c>
      <c r="K67" s="32">
        <f t="shared" si="28"/>
        <v>850.79180889750785</v>
      </c>
      <c r="L67" s="32">
        <f t="shared" si="28"/>
        <v>1116.4866292898516</v>
      </c>
      <c r="M67" s="32">
        <f t="shared" si="28"/>
        <v>1397.2544845879049</v>
      </c>
      <c r="N67" s="32">
        <f t="shared" si="28"/>
        <v>1680.1251493651644</v>
      </c>
      <c r="O67" s="32">
        <f t="shared" si="28"/>
        <v>1906.8424913620058</v>
      </c>
      <c r="P67" s="32">
        <f t="shared" si="28"/>
        <v>2051.1350342065666</v>
      </c>
      <c r="Q67" s="32">
        <f t="shared" si="28"/>
        <v>2083.2323333251638</v>
      </c>
      <c r="R67" s="32">
        <f t="shared" si="28"/>
        <v>1985.3717137540111</v>
      </c>
      <c r="S67" s="32">
        <f t="shared" si="28"/>
        <v>1776.8845293244879</v>
      </c>
      <c r="T67" s="32">
        <f t="shared" si="28"/>
        <v>1463.3941688568946</v>
      </c>
      <c r="U67" s="32">
        <f t="shared" si="28"/>
        <v>1106.9217307621145</v>
      </c>
      <c r="V67" s="32">
        <f t="shared" si="28"/>
        <v>761.74244113461907</v>
      </c>
      <c r="W67" s="32">
        <f t="shared" si="28"/>
        <v>472.02652309898582</v>
      </c>
      <c r="X67" s="32">
        <f t="shared" si="28"/>
        <v>230.70002119449049</v>
      </c>
      <c r="Y67" s="32"/>
      <c r="AA67" s="32"/>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row>
    <row r="68" spans="1:80">
      <c r="B68" s="7" t="str">
        <f t="shared" si="13"/>
        <v>Convert hand line systems to low pressure systems on alfalfa acreageWashington</v>
      </c>
      <c r="C68" s="7" t="s">
        <v>149</v>
      </c>
      <c r="D68" s="7" t="str">
        <f t="shared" ref="D68" si="29">D46</f>
        <v>Washington</v>
      </c>
      <c r="E68" s="32">
        <f t="shared" ref="E68:X68" si="30">E46*E$56*$AA$33</f>
        <v>12.64553756144997</v>
      </c>
      <c r="F68" s="32">
        <f t="shared" si="30"/>
        <v>25.547113002362718</v>
      </c>
      <c r="G68" s="32">
        <f t="shared" si="30"/>
        <v>45.85589853648046</v>
      </c>
      <c r="H68" s="32">
        <f t="shared" si="30"/>
        <v>75.424365005815332</v>
      </c>
      <c r="I68" s="32">
        <f t="shared" si="30"/>
        <v>116.55745393379208</v>
      </c>
      <c r="J68" s="32">
        <f t="shared" si="30"/>
        <v>169.00517418578269</v>
      </c>
      <c r="K68" s="32">
        <f t="shared" si="30"/>
        <v>232.63834566857557</v>
      </c>
      <c r="L68" s="32">
        <f t="shared" si="30"/>
        <v>305.28926076010799</v>
      </c>
      <c r="M68" s="32">
        <f t="shared" si="30"/>
        <v>382.06170813250822</v>
      </c>
      <c r="N68" s="32">
        <f t="shared" si="30"/>
        <v>459.4091423740611</v>
      </c>
      <c r="O68" s="32">
        <f t="shared" si="30"/>
        <v>521.40215502996409</v>
      </c>
      <c r="P68" s="32">
        <f t="shared" si="30"/>
        <v>560.85714050187346</v>
      </c>
      <c r="Q68" s="32">
        <f t="shared" si="30"/>
        <v>569.63374423652397</v>
      </c>
      <c r="R68" s="32">
        <f t="shared" si="30"/>
        <v>542.87498562478311</v>
      </c>
      <c r="S68" s="32">
        <f t="shared" si="30"/>
        <v>485.86678083066954</v>
      </c>
      <c r="T68" s="32">
        <f t="shared" si="30"/>
        <v>400.14677497314727</v>
      </c>
      <c r="U68" s="32">
        <f t="shared" si="30"/>
        <v>302.67385926386646</v>
      </c>
      <c r="V68" s="32">
        <f t="shared" si="30"/>
        <v>208.28891331327804</v>
      </c>
      <c r="W68" s="32">
        <f t="shared" si="30"/>
        <v>129.06973045231365</v>
      </c>
      <c r="X68" s="32">
        <f t="shared" si="30"/>
        <v>63.08202631374531</v>
      </c>
      <c r="Y68" s="32"/>
      <c r="AA68" s="32">
        <f t="shared" ref="AA68" si="31">SUM(E68:X68)</f>
        <v>5608.3301097011008</v>
      </c>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row>
    <row r="69" spans="1:80">
      <c r="B69" s="7" t="str">
        <f t="shared" si="13"/>
        <v>Convert Medium Pressure Center Pivot to Low pressure systemOregon</v>
      </c>
      <c r="C69" s="7" t="s">
        <v>146</v>
      </c>
      <c r="D69" s="7" t="s">
        <v>135</v>
      </c>
      <c r="E69" s="32">
        <f t="shared" ref="E69:X69" si="32">E47*E$56*$AA$33</f>
        <v>113.7817424662297</v>
      </c>
      <c r="F69" s="32">
        <f t="shared" si="32"/>
        <v>229.74187273798196</v>
      </c>
      <c r="G69" s="32">
        <f t="shared" si="32"/>
        <v>412.02042557971316</v>
      </c>
      <c r="H69" s="32">
        <f t="shared" si="32"/>
        <v>677.69851583400146</v>
      </c>
      <c r="I69" s="32">
        <f t="shared" si="32"/>
        <v>1049.0221863427157</v>
      </c>
      <c r="J69" s="32">
        <f t="shared" si="32"/>
        <v>1520.5714438442933</v>
      </c>
      <c r="K69" s="32">
        <f t="shared" si="32"/>
        <v>2093.370441359893</v>
      </c>
      <c r="L69" s="32">
        <f t="shared" si="32"/>
        <v>2748.5627865103002</v>
      </c>
      <c r="M69" s="32">
        <f t="shared" si="32"/>
        <v>3440.5122034558581</v>
      </c>
      <c r="N69" s="32">
        <f t="shared" si="32"/>
        <v>4143.8418886278905</v>
      </c>
      <c r="O69" s="32">
        <f t="shared" si="32"/>
        <v>4704.2797755395586</v>
      </c>
      <c r="P69" s="32">
        <f t="shared" si="32"/>
        <v>5063.5797736478044</v>
      </c>
      <c r="Q69" s="32">
        <f t="shared" si="32"/>
        <v>5140.9589038467275</v>
      </c>
      <c r="R69" s="32">
        <f t="shared" si="32"/>
        <v>4902.8692216352156</v>
      </c>
      <c r="S69" s="32">
        <f t="shared" si="32"/>
        <v>4395.3087175057299</v>
      </c>
      <c r="T69" s="32">
        <f t="shared" si="32"/>
        <v>3620.994746415035</v>
      </c>
      <c r="U69" s="32">
        <f t="shared" si="32"/>
        <v>2740.6610525461742</v>
      </c>
      <c r="V69" s="32">
        <f t="shared" si="32"/>
        <v>1887.2026432369159</v>
      </c>
      <c r="W69" s="32">
        <f t="shared" si="32"/>
        <v>1169.8246588634934</v>
      </c>
      <c r="X69" s="32">
        <f t="shared" si="32"/>
        <v>572.92741162763173</v>
      </c>
      <c r="Y69" s="32"/>
      <c r="AA69" s="32"/>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row>
    <row r="70" spans="1:80">
      <c r="B70" s="7" t="str">
        <f t="shared" si="13"/>
        <v>Convert High Pressure Center Pivot to Low pressure systemOregon</v>
      </c>
      <c r="C70" s="7" t="s">
        <v>147</v>
      </c>
      <c r="D70" s="7" t="s">
        <v>135</v>
      </c>
      <c r="E70" s="32">
        <f t="shared" ref="E70:X70" si="33">E48*E$56*$AA$33</f>
        <v>40.954336165757873</v>
      </c>
      <c r="F70" s="32">
        <f t="shared" si="33"/>
        <v>82.692756179706407</v>
      </c>
      <c r="G70" s="32">
        <f t="shared" si="33"/>
        <v>148.30167521259739</v>
      </c>
      <c r="H70" s="32">
        <f t="shared" si="33"/>
        <v>243.92923007606819</v>
      </c>
      <c r="I70" s="32">
        <f t="shared" si="33"/>
        <v>377.5826097721166</v>
      </c>
      <c r="J70" s="32">
        <f t="shared" si="33"/>
        <v>547.31095451217811</v>
      </c>
      <c r="K70" s="32">
        <f t="shared" si="33"/>
        <v>753.4828955564584</v>
      </c>
      <c r="L70" s="32">
        <f t="shared" si="33"/>
        <v>989.3113068192323</v>
      </c>
      <c r="M70" s="32">
        <f t="shared" si="33"/>
        <v>1238.3699731487561</v>
      </c>
      <c r="N70" s="32">
        <f t="shared" si="33"/>
        <v>1491.524826797101</v>
      </c>
      <c r="O70" s="32">
        <f t="shared" si="33"/>
        <v>1693.2475383948749</v>
      </c>
      <c r="P70" s="32">
        <f t="shared" si="33"/>
        <v>1822.5731453677918</v>
      </c>
      <c r="Q70" s="32">
        <f t="shared" si="33"/>
        <v>1850.4248098061462</v>
      </c>
      <c r="R70" s="32">
        <f t="shared" si="33"/>
        <v>1764.7273624693489</v>
      </c>
      <c r="S70" s="32">
        <f t="shared" si="33"/>
        <v>1582.0372132413218</v>
      </c>
      <c r="T70" s="32">
        <f t="shared" si="33"/>
        <v>1303.3324405551134</v>
      </c>
      <c r="U70" s="32">
        <f t="shared" si="33"/>
        <v>986.46717504514515</v>
      </c>
      <c r="V70" s="32">
        <f t="shared" si="33"/>
        <v>679.27533705129213</v>
      </c>
      <c r="W70" s="32">
        <f t="shared" si="33"/>
        <v>421.06397121056563</v>
      </c>
      <c r="X70" s="32">
        <f t="shared" si="33"/>
        <v>206.21816212156904</v>
      </c>
      <c r="Y70" s="32"/>
      <c r="AA70" s="32"/>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row>
    <row r="71" spans="1:80">
      <c r="B71" s="7" t="str">
        <f t="shared" si="13"/>
        <v>Convert wheel line systems to low pressure systems on alfalfa acreageOregon</v>
      </c>
      <c r="C71" s="7" t="s">
        <v>148</v>
      </c>
      <c r="D71" s="7" t="s">
        <v>135</v>
      </c>
      <c r="E71" s="32">
        <f t="shared" ref="E71:X71" si="34">E49*E$56*$AA$33</f>
        <v>44.08272866887966</v>
      </c>
      <c r="F71" s="32">
        <f t="shared" si="34"/>
        <v>89.009435259744038</v>
      </c>
      <c r="G71" s="32">
        <f t="shared" si="34"/>
        <v>159.63004462036233</v>
      </c>
      <c r="H71" s="32">
        <f t="shared" si="34"/>
        <v>262.56233333462575</v>
      </c>
      <c r="I71" s="32">
        <f t="shared" si="34"/>
        <v>406.42513821499927</v>
      </c>
      <c r="J71" s="32">
        <f t="shared" si="34"/>
        <v>589.11857849715454</v>
      </c>
      <c r="K71" s="32">
        <f t="shared" si="34"/>
        <v>811.03944420002256</v>
      </c>
      <c r="L71" s="32">
        <f t="shared" si="34"/>
        <v>1064.8821587793384</v>
      </c>
      <c r="M71" s="32">
        <f t="shared" si="34"/>
        <v>1332.9657523211911</v>
      </c>
      <c r="N71" s="32">
        <f t="shared" si="34"/>
        <v>1605.4584300054814</v>
      </c>
      <c r="O71" s="32">
        <f t="shared" si="34"/>
        <v>1822.5902014917538</v>
      </c>
      <c r="P71" s="32">
        <f t="shared" si="34"/>
        <v>1961.7946466340468</v>
      </c>
      <c r="Q71" s="32">
        <f t="shared" si="34"/>
        <v>1991.7738254307283</v>
      </c>
      <c r="R71" s="32">
        <f t="shared" si="34"/>
        <v>1899.5301786707485</v>
      </c>
      <c r="S71" s="32">
        <f t="shared" si="34"/>
        <v>1702.8848162285215</v>
      </c>
      <c r="T71" s="32">
        <f t="shared" si="34"/>
        <v>1402.8905293397904</v>
      </c>
      <c r="U71" s="32">
        <f t="shared" si="34"/>
        <v>1061.820771365117</v>
      </c>
      <c r="V71" s="32">
        <f t="shared" si="34"/>
        <v>731.16336823279948</v>
      </c>
      <c r="W71" s="32">
        <f t="shared" si="34"/>
        <v>453.22792487687309</v>
      </c>
      <c r="X71" s="32">
        <f t="shared" si="34"/>
        <v>221.97061748496631</v>
      </c>
      <c r="Y71" s="32"/>
      <c r="AA71" s="32"/>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row>
    <row r="72" spans="1:80">
      <c r="B72" s="7" t="str">
        <f t="shared" si="13"/>
        <v>Convert hand line systems to low pressure systems on alfalfa acreageOregon</v>
      </c>
      <c r="C72" s="7" t="s">
        <v>149</v>
      </c>
      <c r="D72" s="7" t="s">
        <v>135</v>
      </c>
      <c r="E72" s="32">
        <f t="shared" ref="E72:X72" si="35">E50*E$56*$AA$33</f>
        <v>14.344285331432504</v>
      </c>
      <c r="F72" s="32">
        <f t="shared" si="35"/>
        <v>28.96319658761918</v>
      </c>
      <c r="G72" s="32">
        <f t="shared" si="35"/>
        <v>51.942767080120795</v>
      </c>
      <c r="H72" s="32">
        <f t="shared" si="35"/>
        <v>85.436386094161463</v>
      </c>
      <c r="I72" s="32">
        <f t="shared" si="35"/>
        <v>132.2485772651016</v>
      </c>
      <c r="J72" s="32">
        <f t="shared" si="35"/>
        <v>191.6960505663242</v>
      </c>
      <c r="K72" s="32">
        <f t="shared" si="35"/>
        <v>263.90791935855054</v>
      </c>
      <c r="L72" s="32">
        <f t="shared" si="35"/>
        <v>346.5069879094408</v>
      </c>
      <c r="M72" s="32">
        <f t="shared" si="35"/>
        <v>433.73996269475248</v>
      </c>
      <c r="N72" s="32">
        <f t="shared" si="35"/>
        <v>522.40762999795402</v>
      </c>
      <c r="O72" s="32">
        <f t="shared" si="35"/>
        <v>593.06115301630712</v>
      </c>
      <c r="P72" s="32">
        <f t="shared" si="35"/>
        <v>638.35753871700524</v>
      </c>
      <c r="Q72" s="32">
        <f t="shared" si="35"/>
        <v>648.11260396924342</v>
      </c>
      <c r="R72" s="32">
        <f t="shared" si="35"/>
        <v>618.09701216965698</v>
      </c>
      <c r="S72" s="32">
        <f t="shared" si="35"/>
        <v>554.10965763990941</v>
      </c>
      <c r="T72" s="32">
        <f t="shared" si="35"/>
        <v>456.49311304589378</v>
      </c>
      <c r="U72" s="32">
        <f t="shared" si="35"/>
        <v>345.51082873541401</v>
      </c>
      <c r="V72" s="32">
        <f t="shared" si="35"/>
        <v>237.91666928337358</v>
      </c>
      <c r="W72" s="32">
        <f t="shared" si="35"/>
        <v>147.47795499321009</v>
      </c>
      <c r="X72" s="32">
        <f t="shared" si="35"/>
        <v>72.228057757377002</v>
      </c>
      <c r="Y72" s="32"/>
      <c r="AA72" s="32">
        <f t="shared" ref="AA72" si="36">SUM(E72:X72)</f>
        <v>6382.5583522128481</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row>
    <row r="73" spans="1:80">
      <c r="E73" s="32"/>
      <c r="F73" s="32"/>
      <c r="G73" s="32"/>
      <c r="H73" s="32"/>
      <c r="I73" s="32"/>
      <c r="J73" s="32"/>
      <c r="K73" s="32"/>
      <c r="L73" s="32"/>
      <c r="M73" s="32"/>
      <c r="N73" s="32"/>
      <c r="O73" s="32"/>
      <c r="P73" s="32"/>
      <c r="Q73" s="32"/>
      <c r="R73" s="32"/>
      <c r="S73" s="32"/>
      <c r="T73" s="32"/>
      <c r="U73" s="32"/>
      <c r="V73" s="32"/>
      <c r="W73" s="32"/>
      <c r="X73" s="32"/>
      <c r="Y73" s="32"/>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row>
    <row r="74" spans="1:80">
      <c r="C74" s="7" t="s">
        <v>151</v>
      </c>
      <c r="E74" s="32">
        <f>SUM(E57:E72)</f>
        <v>1403.2988703850124</v>
      </c>
      <c r="F74" s="32">
        <f t="shared" ref="F74:X74" si="37">SUM(F57:F72)</f>
        <v>2817.0462179256747</v>
      </c>
      <c r="G74" s="32">
        <f t="shared" si="37"/>
        <v>5023.5781241709965</v>
      </c>
      <c r="H74" s="32">
        <f t="shared" si="37"/>
        <v>8211.3531725985067</v>
      </c>
      <c r="I74" s="32">
        <f t="shared" si="37"/>
        <v>12562.470504814621</v>
      </c>
      <c r="J74" s="32">
        <f t="shared" si="37"/>
        <v>18092.151185772935</v>
      </c>
      <c r="K74" s="32">
        <f t="shared" si="37"/>
        <v>24747.420720258542</v>
      </c>
      <c r="L74" s="32">
        <f t="shared" si="37"/>
        <v>32270.969373377367</v>
      </c>
      <c r="M74" s="32">
        <f t="shared" si="37"/>
        <v>40145.177270130713</v>
      </c>
      <c r="N74" s="32">
        <f t="shared" si="37"/>
        <v>47776.037504531188</v>
      </c>
      <c r="O74" s="32">
        <f t="shared" si="37"/>
        <v>53919.433164616239</v>
      </c>
      <c r="P74" s="32">
        <f t="shared" si="37"/>
        <v>57698.922680542259</v>
      </c>
      <c r="Q74" s="32">
        <f t="shared" si="37"/>
        <v>58283.138805949202</v>
      </c>
      <c r="R74" s="32">
        <f t="shared" si="37"/>
        <v>55271.536914032178</v>
      </c>
      <c r="S74" s="32">
        <f t="shared" si="37"/>
        <v>49034.961806101834</v>
      </c>
      <c r="T74" s="32">
        <f t="shared" si="37"/>
        <v>40169.819349765407</v>
      </c>
      <c r="U74" s="32">
        <f t="shared" si="37"/>
        <v>30223.147706583346</v>
      </c>
      <c r="V74" s="32">
        <f t="shared" si="37"/>
        <v>20690.541263282434</v>
      </c>
      <c r="W74" s="32">
        <f t="shared" si="37"/>
        <v>12758.139048304411</v>
      </c>
      <c r="X74" s="32">
        <f t="shared" si="37"/>
        <v>6180.5809091398869</v>
      </c>
      <c r="Y74" s="32"/>
      <c r="AA74" s="32">
        <f t="shared" ref="AA74" si="38">SUM(E74:Y74)</f>
        <v>577279.72459228279</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row>
    <row r="75" spans="1:80">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row>
    <row r="76" spans="1:80">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row>
    <row r="77" spans="1:80">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row>
    <row r="78" spans="1:80" ht="15">
      <c r="A78" s="49" t="s">
        <v>33</v>
      </c>
      <c r="C78" s="57" t="str">
        <f>C8</f>
        <v>Irrigation Pressure</v>
      </c>
      <c r="D78" s="57"/>
      <c r="E78" s="7" t="s">
        <v>128</v>
      </c>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ht="15">
      <c r="A79" s="57" t="s">
        <v>34</v>
      </c>
      <c r="B79" s="57" t="s">
        <v>21</v>
      </c>
      <c r="C79" s="57">
        <v>1</v>
      </c>
      <c r="D79" s="57"/>
      <c r="E79" s="51">
        <f t="shared" ref="E79:X79" si="39">E11</f>
        <v>2016</v>
      </c>
      <c r="F79" s="52">
        <f t="shared" si="39"/>
        <v>2017</v>
      </c>
      <c r="G79" s="52">
        <f t="shared" si="39"/>
        <v>2018</v>
      </c>
      <c r="H79" s="52">
        <f t="shared" si="39"/>
        <v>2019</v>
      </c>
      <c r="I79" s="52">
        <f t="shared" si="39"/>
        <v>2020</v>
      </c>
      <c r="J79" s="52">
        <f t="shared" si="39"/>
        <v>2021</v>
      </c>
      <c r="K79" s="52">
        <f t="shared" si="39"/>
        <v>2022</v>
      </c>
      <c r="L79" s="52">
        <f t="shared" si="39"/>
        <v>2023</v>
      </c>
      <c r="M79" s="52">
        <f t="shared" si="39"/>
        <v>2024</v>
      </c>
      <c r="N79" s="52">
        <f t="shared" si="39"/>
        <v>2025</v>
      </c>
      <c r="O79" s="52">
        <f t="shared" si="39"/>
        <v>2026</v>
      </c>
      <c r="P79" s="52">
        <f t="shared" si="39"/>
        <v>2027</v>
      </c>
      <c r="Q79" s="52">
        <f t="shared" si="39"/>
        <v>2028</v>
      </c>
      <c r="R79" s="52">
        <f t="shared" si="39"/>
        <v>2029</v>
      </c>
      <c r="S79" s="52">
        <f t="shared" si="39"/>
        <v>2030</v>
      </c>
      <c r="T79" s="52">
        <f t="shared" si="39"/>
        <v>2031</v>
      </c>
      <c r="U79" s="52">
        <f t="shared" si="39"/>
        <v>2032</v>
      </c>
      <c r="V79" s="52">
        <f t="shared" si="39"/>
        <v>2033</v>
      </c>
      <c r="W79" s="52">
        <f t="shared" si="39"/>
        <v>2034</v>
      </c>
      <c r="X79" s="52">
        <f t="shared" si="39"/>
        <v>2035</v>
      </c>
      <c r="Y79" s="53" t="s">
        <v>31</v>
      </c>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ht="15">
      <c r="A80" s="57" t="s">
        <v>22</v>
      </c>
      <c r="B80" s="57" t="s">
        <v>35</v>
      </c>
      <c r="C80" s="57" t="s">
        <v>36</v>
      </c>
      <c r="D80" s="57" t="s">
        <v>150</v>
      </c>
      <c r="E80" s="54" t="str">
        <f>CONCATENATE("Units_",E$11)</f>
        <v>Units_2016</v>
      </c>
      <c r="F80" s="55" t="str">
        <f t="shared" ref="F80:X80" si="40">CONCATENATE("Units_",F$11)</f>
        <v>Units_2017</v>
      </c>
      <c r="G80" s="55" t="str">
        <f t="shared" si="40"/>
        <v>Units_2018</v>
      </c>
      <c r="H80" s="55" t="str">
        <f t="shared" si="40"/>
        <v>Units_2019</v>
      </c>
      <c r="I80" s="55" t="str">
        <f t="shared" si="40"/>
        <v>Units_2020</v>
      </c>
      <c r="J80" s="55" t="str">
        <f t="shared" si="40"/>
        <v>Units_2021</v>
      </c>
      <c r="K80" s="55" t="str">
        <f t="shared" si="40"/>
        <v>Units_2022</v>
      </c>
      <c r="L80" s="55" t="str">
        <f t="shared" si="40"/>
        <v>Units_2023</v>
      </c>
      <c r="M80" s="55" t="str">
        <f t="shared" si="40"/>
        <v>Units_2024</v>
      </c>
      <c r="N80" s="55" t="str">
        <f t="shared" si="40"/>
        <v>Units_2025</v>
      </c>
      <c r="O80" s="55" t="str">
        <f t="shared" si="40"/>
        <v>Units_2026</v>
      </c>
      <c r="P80" s="55" t="str">
        <f t="shared" si="40"/>
        <v>Units_2027</v>
      </c>
      <c r="Q80" s="55" t="str">
        <f t="shared" si="40"/>
        <v>Units_2028</v>
      </c>
      <c r="R80" s="55" t="str">
        <f t="shared" si="40"/>
        <v>Units_2029</v>
      </c>
      <c r="S80" s="55" t="str">
        <f t="shared" si="40"/>
        <v>Units_2030</v>
      </c>
      <c r="T80" s="55" t="str">
        <f t="shared" si="40"/>
        <v>Units_2031</v>
      </c>
      <c r="U80" s="55" t="str">
        <f t="shared" si="40"/>
        <v>Units_2032</v>
      </c>
      <c r="V80" s="55" t="str">
        <f t="shared" si="40"/>
        <v>Units_2033</v>
      </c>
      <c r="W80" s="55" t="str">
        <f t="shared" si="40"/>
        <v>Units_2034</v>
      </c>
      <c r="X80" s="55" t="str">
        <f t="shared" si="40"/>
        <v>Units_2035</v>
      </c>
      <c r="Y80" s="56" t="s">
        <v>31</v>
      </c>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A81" s="62">
        <f t="shared" ref="A81:A86" si="41">VLOOKUP(CONCATENATE($C81," - ", $D81),MeasureOutput,3,FALSE)</f>
        <v>287.81138859551851</v>
      </c>
      <c r="B81" s="62">
        <f t="shared" ref="B81:B86" si="42">VLOOKUP(CONCATENATE($C81," - ", $D81),MeasureOutput,11,FALSE)</f>
        <v>14.037789073160434</v>
      </c>
      <c r="C81" s="7" t="s">
        <v>146</v>
      </c>
      <c r="D81" s="7" t="s">
        <v>134</v>
      </c>
      <c r="E81" s="42">
        <f>VLOOKUP(CONCATENATE($C81&amp;$D81),$B$57:$Y$72,E$34+1,FALSE)*$C$79*$A81/8760/1000</f>
        <v>1.7953503813037279E-2</v>
      </c>
      <c r="F81" s="42">
        <f t="shared" ref="F81:U96" si="43">VLOOKUP(CONCATENATE($C81&amp;$D81),$B$57:$Y$72,F$34+1,FALSE)*$C$79*$A81/8760/1000</f>
        <v>3.5892363973992633E-2</v>
      </c>
      <c r="G81" s="42">
        <f t="shared" si="43"/>
        <v>6.3739590988878866E-2</v>
      </c>
      <c r="H81" s="42">
        <f t="shared" si="43"/>
        <v>0.10374464517948984</v>
      </c>
      <c r="I81" s="42">
        <f t="shared" si="43"/>
        <v>0.15760865538114188</v>
      </c>
      <c r="J81" s="42">
        <f t="shared" si="43"/>
        <v>0.22598213325745675</v>
      </c>
      <c r="K81" s="42">
        <f t="shared" si="43"/>
        <v>0.30778870523301077</v>
      </c>
      <c r="L81" s="42">
        <f t="shared" si="43"/>
        <v>0.39958008032674286</v>
      </c>
      <c r="M81" s="42">
        <f t="shared" si="43"/>
        <v>0.49499622375591279</v>
      </c>
      <c r="N81" s="42">
        <f t="shared" si="43"/>
        <v>0.58472240070891979</v>
      </c>
      <c r="O81" s="42">
        <f t="shared" si="43"/>
        <v>0.65722033305288263</v>
      </c>
      <c r="P81" s="42">
        <f t="shared" si="43"/>
        <v>0.70051349170354449</v>
      </c>
      <c r="Q81" s="42">
        <f t="shared" si="43"/>
        <v>0.70486715607403194</v>
      </c>
      <c r="R81" s="42">
        <f t="shared" si="43"/>
        <v>0.66587018357610905</v>
      </c>
      <c r="S81" s="42">
        <f t="shared" si="43"/>
        <v>0.58674421513839292</v>
      </c>
      <c r="T81" s="42">
        <f t="shared" si="43"/>
        <v>0.4786995607797121</v>
      </c>
      <c r="U81" s="42">
        <f t="shared" si="43"/>
        <v>0.3586440678310901</v>
      </c>
      <c r="V81" s="42">
        <f t="shared" ref="V81:X96" si="44">VLOOKUP(CONCATENATE($C81&amp;$D81),$B$57:$Y$72,V$34+1,FALSE)*$C$79*$A81/8760/1000</f>
        <v>0.24450101317623357</v>
      </c>
      <c r="W81" s="42">
        <f t="shared" si="44"/>
        <v>0.15017098497316114</v>
      </c>
      <c r="X81" s="42">
        <f t="shared" si="44"/>
        <v>7.222064256767656E-2</v>
      </c>
      <c r="Y81" s="26">
        <f>VLOOKUP($C81&amp;$D81,$Z$35:$AA$50,2,FALSE)*$A81*$C$79/8760/1000</f>
        <v>7.2220642567676565</v>
      </c>
      <c r="AA81" s="32">
        <f>SUM(E81:X81)</f>
        <v>7.0114599514914175</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A82" s="62">
        <f t="shared" si="41"/>
        <v>501.3959711335944</v>
      </c>
      <c r="B82" s="62">
        <f t="shared" si="42"/>
        <v>19.230940400322673</v>
      </c>
      <c r="C82" s="7" t="s">
        <v>147</v>
      </c>
      <c r="D82" s="7" t="s">
        <v>134</v>
      </c>
      <c r="E82" s="42">
        <f t="shared" ref="E82:E96" si="45">VLOOKUP(CONCATENATE($C82&amp;$D82),$B$57:$Y$72,E$34+1,FALSE)*$C$79*$A82/8760/1000</f>
        <v>7.339760433386632E-3</v>
      </c>
      <c r="F82" s="42">
        <f t="shared" si="43"/>
        <v>1.4673534241584638E-2</v>
      </c>
      <c r="G82" s="42">
        <f t="shared" si="43"/>
        <v>2.6058051556526487E-2</v>
      </c>
      <c r="H82" s="42">
        <f t="shared" si="43"/>
        <v>4.241293787517985E-2</v>
      </c>
      <c r="I82" s="42">
        <f t="shared" si="43"/>
        <v>6.4433649541196236E-2</v>
      </c>
      <c r="J82" s="42">
        <f t="shared" si="43"/>
        <v>9.2386129059160188E-2</v>
      </c>
      <c r="K82" s="42">
        <f t="shared" si="43"/>
        <v>0.12583033284411418</v>
      </c>
      <c r="L82" s="42">
        <f t="shared" si="43"/>
        <v>0.163356528847698</v>
      </c>
      <c r="M82" s="42">
        <f t="shared" si="43"/>
        <v>0.20236460446017021</v>
      </c>
      <c r="N82" s="42">
        <f t="shared" si="43"/>
        <v>0.23904650512406703</v>
      </c>
      <c r="O82" s="42">
        <f t="shared" si="43"/>
        <v>0.26868514618610612</v>
      </c>
      <c r="P82" s="42">
        <f t="shared" si="43"/>
        <v>0.28638427701925906</v>
      </c>
      <c r="Q82" s="42">
        <f t="shared" si="43"/>
        <v>0.28816414427077258</v>
      </c>
      <c r="R82" s="42">
        <f t="shared" si="43"/>
        <v>0.27222138241532512</v>
      </c>
      <c r="S82" s="42">
        <f t="shared" si="43"/>
        <v>0.23987306431316091</v>
      </c>
      <c r="T82" s="42">
        <f t="shared" si="43"/>
        <v>0.19570219452868395</v>
      </c>
      <c r="U82" s="42">
        <f t="shared" si="43"/>
        <v>0.1466210476878573</v>
      </c>
      <c r="V82" s="42">
        <f t="shared" si="44"/>
        <v>9.9957026835658436E-2</v>
      </c>
      <c r="W82" s="42">
        <f t="shared" si="44"/>
        <v>6.1392977394658162E-2</v>
      </c>
      <c r="X82" s="42">
        <f t="shared" si="44"/>
        <v>2.9525279316623517E-2</v>
      </c>
      <c r="Y82" s="26">
        <f t="shared" ref="Y82:Y96" si="46">VLOOKUP($C82&amp;$D82,$Z$35:$AA$50,2,FALSE)*$A82*$C$79/8760/1000</f>
        <v>2.9525279316623521</v>
      </c>
      <c r="AA82" s="32">
        <f t="shared" ref="AA82:AA96" si="47">SUM(E82:X82)</f>
        <v>2.8664285739511888</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83" s="62">
        <f t="shared" si="41"/>
        <v>272.53397519140287</v>
      </c>
      <c r="B83" s="62">
        <f t="shared" si="42"/>
        <v>110.21371749662713</v>
      </c>
      <c r="C83" s="7" t="s">
        <v>148</v>
      </c>
      <c r="D83" s="7" t="s">
        <v>134</v>
      </c>
      <c r="E83" s="42">
        <f t="shared" si="45"/>
        <v>3.9003626137243353E-3</v>
      </c>
      <c r="F83" s="42">
        <f t="shared" si="43"/>
        <v>7.7975439234701533E-3</v>
      </c>
      <c r="G83" s="42">
        <f t="shared" si="43"/>
        <v>1.3847298014695749E-2</v>
      </c>
      <c r="H83" s="42">
        <f t="shared" si="43"/>
        <v>2.2538315620505251E-2</v>
      </c>
      <c r="I83" s="42">
        <f t="shared" si="43"/>
        <v>3.4240163560806988E-2</v>
      </c>
      <c r="J83" s="42">
        <f t="shared" si="43"/>
        <v>4.9094164186881485E-2</v>
      </c>
      <c r="K83" s="42">
        <f t="shared" si="43"/>
        <v>6.68664775031656E-2</v>
      </c>
      <c r="L83" s="42">
        <f t="shared" si="43"/>
        <v>8.6807969225687037E-2</v>
      </c>
      <c r="M83" s="42">
        <f t="shared" si="43"/>
        <v>0.107536934582669</v>
      </c>
      <c r="N83" s="42">
        <f t="shared" si="43"/>
        <v>0.1270297661605245</v>
      </c>
      <c r="O83" s="42">
        <f t="shared" si="43"/>
        <v>0.14277979622882633</v>
      </c>
      <c r="P83" s="42">
        <f t="shared" si="43"/>
        <v>0.15218514791892135</v>
      </c>
      <c r="Q83" s="42">
        <f t="shared" si="43"/>
        <v>0.15313097275178897</v>
      </c>
      <c r="R83" s="42">
        <f t="shared" si="43"/>
        <v>0.14465895886729674</v>
      </c>
      <c r="S83" s="42">
        <f t="shared" si="43"/>
        <v>0.12746900128112973</v>
      </c>
      <c r="T83" s="42">
        <f t="shared" si="43"/>
        <v>0.10399651731020984</v>
      </c>
      <c r="U83" s="42">
        <f t="shared" si="43"/>
        <v>7.7914702799494931E-2</v>
      </c>
      <c r="V83" s="42">
        <f t="shared" si="44"/>
        <v>5.3117353623073675E-2</v>
      </c>
      <c r="W83" s="42">
        <f t="shared" si="44"/>
        <v>3.2624344615681325E-2</v>
      </c>
      <c r="X83" s="42">
        <f t="shared" si="44"/>
        <v>1.5689789421804219E-2</v>
      </c>
      <c r="Y83" s="26">
        <f t="shared" si="46"/>
        <v>1.5689789421804219</v>
      </c>
      <c r="AA83" s="32">
        <f t="shared" si="47"/>
        <v>1.5232255802103569</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84" s="62">
        <f t="shared" si="41"/>
        <v>272.53397519140287</v>
      </c>
      <c r="B84" s="62">
        <f t="shared" si="42"/>
        <v>77.735863486119598</v>
      </c>
      <c r="C84" s="7" t="s">
        <v>149</v>
      </c>
      <c r="D84" s="7" t="s">
        <v>134</v>
      </c>
      <c r="E84" s="42">
        <f t="shared" si="45"/>
        <v>1.3212014562372198E-3</v>
      </c>
      <c r="F84" s="42">
        <f t="shared" si="43"/>
        <v>2.6413252835805622E-3</v>
      </c>
      <c r="G84" s="42">
        <f t="shared" si="43"/>
        <v>4.6906075444347961E-3</v>
      </c>
      <c r="H84" s="42">
        <f t="shared" si="43"/>
        <v>7.6345864136236948E-3</v>
      </c>
      <c r="I84" s="42">
        <f t="shared" si="43"/>
        <v>1.1598448256876885E-2</v>
      </c>
      <c r="J84" s="42">
        <f t="shared" si="43"/>
        <v>1.663006434022837E-2</v>
      </c>
      <c r="K84" s="42">
        <f t="shared" si="43"/>
        <v>2.2650224145769532E-2</v>
      </c>
      <c r="L84" s="42">
        <f t="shared" si="43"/>
        <v>2.9405167342750928E-2</v>
      </c>
      <c r="M84" s="42">
        <f t="shared" si="43"/>
        <v>3.6426857869566932E-2</v>
      </c>
      <c r="N84" s="42">
        <f t="shared" si="43"/>
        <v>4.3029822777554787E-2</v>
      </c>
      <c r="O84" s="42">
        <f t="shared" si="43"/>
        <v>4.8364958179786165E-2</v>
      </c>
      <c r="P84" s="42">
        <f t="shared" si="43"/>
        <v>5.1550909225889327E-2</v>
      </c>
      <c r="Q84" s="42">
        <f t="shared" si="43"/>
        <v>5.1871296141232238E-2</v>
      </c>
      <c r="R84" s="42">
        <f t="shared" si="43"/>
        <v>4.9001502178469131E-2</v>
      </c>
      <c r="S84" s="42">
        <f t="shared" si="43"/>
        <v>4.3178608451720599E-2</v>
      </c>
      <c r="T84" s="42">
        <f t="shared" si="43"/>
        <v>3.5227583617577843E-2</v>
      </c>
      <c r="U84" s="42">
        <f t="shared" si="43"/>
        <v>2.6392679090595554E-2</v>
      </c>
      <c r="V84" s="42">
        <f t="shared" si="44"/>
        <v>1.7992871922044407E-2</v>
      </c>
      <c r="W84" s="42">
        <f t="shared" si="44"/>
        <v>1.1051108802897953E-2</v>
      </c>
      <c r="X84" s="42">
        <f t="shared" si="44"/>
        <v>5.3147295995510614E-3</v>
      </c>
      <c r="Y84" s="26">
        <f t="shared" si="46"/>
        <v>0.53147295995510602</v>
      </c>
      <c r="AA84" s="32">
        <f t="shared" si="47"/>
        <v>0.51597455264038794</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A85" s="62">
        <f t="shared" si="41"/>
        <v>166.60065195306746</v>
      </c>
      <c r="B85" s="62">
        <f t="shared" si="42"/>
        <v>24.318433949444213</v>
      </c>
      <c r="C85" s="7" t="s">
        <v>146</v>
      </c>
      <c r="D85" s="7" t="s">
        <v>130</v>
      </c>
      <c r="E85" s="42">
        <f t="shared" si="45"/>
        <v>4.526672878504643E-4</v>
      </c>
      <c r="F85" s="42">
        <f t="shared" si="43"/>
        <v>9.1466827320522287E-4</v>
      </c>
      <c r="G85" s="42">
        <f t="shared" si="43"/>
        <v>1.6412378160617824E-3</v>
      </c>
      <c r="H85" s="42">
        <f t="shared" si="43"/>
        <v>2.6984036866609844E-3</v>
      </c>
      <c r="I85" s="42">
        <f t="shared" si="43"/>
        <v>4.1398645605422134E-3</v>
      </c>
      <c r="J85" s="42">
        <f t="shared" si="43"/>
        <v>5.9745687630160284E-3</v>
      </c>
      <c r="K85" s="42">
        <f t="shared" si="43"/>
        <v>8.189252291742697E-3</v>
      </c>
      <c r="L85" s="42">
        <f t="shared" si="43"/>
        <v>1.0700347129300042E-2</v>
      </c>
      <c r="M85" s="42">
        <f t="shared" si="43"/>
        <v>1.3342292079591722E-2</v>
      </c>
      <c r="N85" s="42">
        <f t="shared" si="43"/>
        <v>1.5864814037659387E-2</v>
      </c>
      <c r="O85" s="42">
        <f t="shared" si="43"/>
        <v>1.7950074500862896E-2</v>
      </c>
      <c r="P85" s="42">
        <f t="shared" si="43"/>
        <v>1.9259604219490342E-2</v>
      </c>
      <c r="Q85" s="42">
        <f t="shared" si="43"/>
        <v>1.9508009521137949E-2</v>
      </c>
      <c r="R85" s="42">
        <f t="shared" si="43"/>
        <v>1.8550830320584612E-2</v>
      </c>
      <c r="S85" s="42">
        <f t="shared" si="43"/>
        <v>1.6454303184853133E-2</v>
      </c>
      <c r="T85" s="42">
        <f t="shared" si="43"/>
        <v>1.3512466613356902E-2</v>
      </c>
      <c r="U85" s="42">
        <f t="shared" si="43"/>
        <v>1.0189606872304215E-2</v>
      </c>
      <c r="V85" s="42">
        <f t="shared" si="44"/>
        <v>6.9915639544769108E-3</v>
      </c>
      <c r="W85" s="42">
        <f t="shared" si="44"/>
        <v>4.3217050761205945E-3</v>
      </c>
      <c r="X85" s="42">
        <f t="shared" si="44"/>
        <v>2.0916062712909907E-3</v>
      </c>
      <c r="Y85" s="26">
        <f t="shared" si="46"/>
        <v>0.20916062712909905</v>
      </c>
      <c r="AA85" s="32">
        <f t="shared" si="47"/>
        <v>0.19274788646010907</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A86" s="62">
        <f t="shared" si="41"/>
        <v>286.81995996501684</v>
      </c>
      <c r="B86" s="62">
        <f t="shared" si="42"/>
        <v>33.730986596697171</v>
      </c>
      <c r="C86" s="7" t="s">
        <v>147</v>
      </c>
      <c r="D86" s="7" t="s">
        <v>130</v>
      </c>
      <c r="E86" s="42">
        <f t="shared" si="45"/>
        <v>1.9148734354105853E-4</v>
      </c>
      <c r="F86" s="42">
        <f t="shared" si="43"/>
        <v>3.8692302836606602E-4</v>
      </c>
      <c r="G86" s="42">
        <f t="shared" si="43"/>
        <v>6.9427652042004513E-4</v>
      </c>
      <c r="H86" s="42">
        <f t="shared" si="43"/>
        <v>1.1414788910719851E-3</v>
      </c>
      <c r="I86" s="42">
        <f t="shared" si="43"/>
        <v>1.7512457573030421E-3</v>
      </c>
      <c r="J86" s="42">
        <f t="shared" si="43"/>
        <v>2.5273624402284154E-3</v>
      </c>
      <c r="K86" s="42">
        <f t="shared" si="43"/>
        <v>3.4642180007744675E-3</v>
      </c>
      <c r="L86" s="42">
        <f t="shared" si="43"/>
        <v>4.5264614911465061E-3</v>
      </c>
      <c r="M86" s="42">
        <f t="shared" si="43"/>
        <v>5.6440572041377849E-3</v>
      </c>
      <c r="N86" s="42">
        <f t="shared" si="43"/>
        <v>6.7111345957206574E-3</v>
      </c>
      <c r="O86" s="42">
        <f t="shared" si="43"/>
        <v>7.5932416032452295E-3</v>
      </c>
      <c r="P86" s="42">
        <f t="shared" si="43"/>
        <v>8.1471989441849538E-3</v>
      </c>
      <c r="Q86" s="42">
        <f t="shared" si="43"/>
        <v>8.2522793699428866E-3</v>
      </c>
      <c r="R86" s="42">
        <f t="shared" si="43"/>
        <v>7.8473733665135846E-3</v>
      </c>
      <c r="S86" s="42">
        <f t="shared" si="43"/>
        <v>6.9605003304933945E-3</v>
      </c>
      <c r="T86" s="42">
        <f t="shared" si="43"/>
        <v>5.7160444457248043E-3</v>
      </c>
      <c r="U86" s="42">
        <f t="shared" si="43"/>
        <v>4.3104081166779797E-3</v>
      </c>
      <c r="V86" s="42">
        <f t="shared" si="44"/>
        <v>2.957571807756661E-3</v>
      </c>
      <c r="W86" s="42">
        <f t="shared" si="44"/>
        <v>1.828167943223716E-3</v>
      </c>
      <c r="X86" s="42">
        <f t="shared" si="44"/>
        <v>8.8479141164633584E-4</v>
      </c>
      <c r="Y86" s="26">
        <f t="shared" si="46"/>
        <v>8.8479141164633554E-2</v>
      </c>
      <c r="AA86" s="32">
        <f t="shared" si="47"/>
        <v>8.1536222612119569E-2</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A87" s="62">
        <f t="shared" ref="A87:A96" si="48">VLOOKUP(CONCATENATE($C87," - ", $D87),MeasureOutput,3,FALSE)</f>
        <v>202.83432959591843</v>
      </c>
      <c r="B87" s="62">
        <f t="shared" ref="B87:B96" si="49">VLOOKUP(CONCATENATE($C87," - ", $D87),MeasureOutput,11,FALSE)</f>
        <v>148.13817906920514</v>
      </c>
      <c r="C87" s="7" t="s">
        <v>148</v>
      </c>
      <c r="D87" s="7" t="s">
        <v>130</v>
      </c>
      <c r="E87" s="42">
        <f t="shared" si="45"/>
        <v>2.5894805156207173E-4</v>
      </c>
      <c r="F87" s="42">
        <f t="shared" si="43"/>
        <v>5.23235439204919E-4</v>
      </c>
      <c r="G87" s="42">
        <f t="shared" si="43"/>
        <v>9.3886911209626234E-4</v>
      </c>
      <c r="H87" s="42">
        <f t="shared" si="43"/>
        <v>1.5436202167531034E-3</v>
      </c>
      <c r="I87" s="42">
        <f t="shared" si="43"/>
        <v>2.3682070484346784E-3</v>
      </c>
      <c r="J87" s="42">
        <f t="shared" si="43"/>
        <v>3.4177484912885818E-3</v>
      </c>
      <c r="K87" s="42">
        <f t="shared" si="43"/>
        <v>4.6846568807011445E-3</v>
      </c>
      <c r="L87" s="42">
        <f t="shared" si="43"/>
        <v>6.1211271822349594E-3</v>
      </c>
      <c r="M87" s="42">
        <f t="shared" si="43"/>
        <v>7.6324502125801139E-3</v>
      </c>
      <c r="N87" s="42">
        <f t="shared" si="43"/>
        <v>9.0754573915745578E-3</v>
      </c>
      <c r="O87" s="42">
        <f t="shared" si="43"/>
        <v>1.0268329393680329E-2</v>
      </c>
      <c r="P87" s="42">
        <f t="shared" si="43"/>
        <v>1.1017445086823206E-2</v>
      </c>
      <c r="Q87" s="42">
        <f t="shared" si="43"/>
        <v>1.1159545191217281E-2</v>
      </c>
      <c r="R87" s="42">
        <f t="shared" si="43"/>
        <v>1.0611991401421658E-2</v>
      </c>
      <c r="S87" s="42">
        <f t="shared" si="43"/>
        <v>9.4126743060277025E-3</v>
      </c>
      <c r="T87" s="42">
        <f t="shared" si="43"/>
        <v>7.7297984529471862E-3</v>
      </c>
      <c r="U87" s="42">
        <f t="shared" si="43"/>
        <v>5.8289585233698418E-3</v>
      </c>
      <c r="V87" s="42">
        <f t="shared" si="44"/>
        <v>3.9995199829449164E-3</v>
      </c>
      <c r="W87" s="42">
        <f t="shared" si="44"/>
        <v>2.4722288067279782E-3</v>
      </c>
      <c r="X87" s="42">
        <f t="shared" si="44"/>
        <v>1.1965021178308162E-3</v>
      </c>
      <c r="Y87" s="26">
        <f t="shared" si="46"/>
        <v>0.11965021178308162</v>
      </c>
      <c r="AA87" s="32">
        <f t="shared" si="47"/>
        <v>0.11026131328942132</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88" s="62">
        <f t="shared" si="48"/>
        <v>202.83432959591843</v>
      </c>
      <c r="B88" s="62">
        <f t="shared" si="49"/>
        <v>123.66448698155362</v>
      </c>
      <c r="C88" s="7" t="s">
        <v>149</v>
      </c>
      <c r="D88" s="7" t="s">
        <v>130</v>
      </c>
      <c r="E88" s="42">
        <f t="shared" si="45"/>
        <v>6.2031799544223637E-5</v>
      </c>
      <c r="F88" s="42">
        <f t="shared" si="43"/>
        <v>1.2534265341406948E-4</v>
      </c>
      <c r="G88" s="42">
        <f t="shared" si="43"/>
        <v>2.2490897385979392E-4</v>
      </c>
      <c r="H88" s="42">
        <f t="shared" si="43"/>
        <v>3.6977895481513871E-4</v>
      </c>
      <c r="I88" s="42">
        <f t="shared" si="43"/>
        <v>5.6731125807487866E-4</v>
      </c>
      <c r="J88" s="42">
        <f t="shared" si="43"/>
        <v>8.187321280282581E-4</v>
      </c>
      <c r="K88" s="42">
        <f t="shared" si="43"/>
        <v>1.122223916357459E-3</v>
      </c>
      <c r="L88" s="42">
        <f t="shared" si="43"/>
        <v>1.4663347805190165E-3</v>
      </c>
      <c r="M88" s="42">
        <f t="shared" si="43"/>
        <v>1.8283768453246935E-3</v>
      </c>
      <c r="N88" s="42">
        <f t="shared" si="43"/>
        <v>2.174053638520421E-3</v>
      </c>
      <c r="O88" s="42">
        <f t="shared" si="43"/>
        <v>2.4598097833153725E-3</v>
      </c>
      <c r="P88" s="42">
        <f t="shared" si="43"/>
        <v>2.6392627439850995E-3</v>
      </c>
      <c r="Q88" s="42">
        <f t="shared" si="43"/>
        <v>2.6733032595935898E-3</v>
      </c>
      <c r="R88" s="42">
        <f t="shared" si="43"/>
        <v>2.5421350707488075E-3</v>
      </c>
      <c r="S88" s="42">
        <f t="shared" si="43"/>
        <v>2.2548349840995551E-3</v>
      </c>
      <c r="T88" s="42">
        <f t="shared" si="43"/>
        <v>1.8516969147208727E-3</v>
      </c>
      <c r="U88" s="42">
        <f t="shared" si="43"/>
        <v>1.3963448826592088E-3</v>
      </c>
      <c r="V88" s="42">
        <f t="shared" si="44"/>
        <v>9.580972722464567E-4</v>
      </c>
      <c r="W88" s="42">
        <f t="shared" si="44"/>
        <v>5.9222998914762774E-4</v>
      </c>
      <c r="X88" s="42">
        <f t="shared" si="44"/>
        <v>2.8662575014482732E-4</v>
      </c>
      <c r="Y88" s="26">
        <f t="shared" si="46"/>
        <v>2.8662575014482727E-2</v>
      </c>
      <c r="AA88" s="32">
        <f t="shared" si="47"/>
        <v>2.6413435599119371E-2</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A89" s="62">
        <f t="shared" si="48"/>
        <v>475.8558221289847</v>
      </c>
      <c r="B89" s="62">
        <f t="shared" si="49"/>
        <v>8.927621509866329</v>
      </c>
      <c r="C89" s="7" t="s">
        <v>146</v>
      </c>
      <c r="D89" s="7" t="s">
        <v>136</v>
      </c>
      <c r="E89" s="42">
        <f t="shared" si="45"/>
        <v>9.8503187621484783E-3</v>
      </c>
      <c r="F89" s="42">
        <f t="shared" si="43"/>
        <v>1.9900079795187941E-2</v>
      </c>
      <c r="G89" s="42">
        <f t="shared" si="43"/>
        <v>3.5719732396831204E-2</v>
      </c>
      <c r="H89" s="42">
        <f t="shared" si="43"/>
        <v>5.8752270050173236E-2</v>
      </c>
      <c r="I89" s="42">
        <f t="shared" si="43"/>
        <v>9.0793141040707293E-2</v>
      </c>
      <c r="J89" s="42">
        <f t="shared" si="43"/>
        <v>0.13164761324638391</v>
      </c>
      <c r="K89" s="42">
        <f t="shared" si="43"/>
        <v>0.18121506104415827</v>
      </c>
      <c r="L89" s="42">
        <f t="shared" si="43"/>
        <v>0.23780693533465866</v>
      </c>
      <c r="M89" s="42">
        <f t="shared" si="43"/>
        <v>0.29760930238260397</v>
      </c>
      <c r="N89" s="42">
        <f t="shared" si="43"/>
        <v>0.35785955896610128</v>
      </c>
      <c r="O89" s="42">
        <f t="shared" si="43"/>
        <v>0.40614939502242869</v>
      </c>
      <c r="P89" s="42">
        <f t="shared" si="43"/>
        <v>0.43688309707073308</v>
      </c>
      <c r="Q89" s="42">
        <f t="shared" si="43"/>
        <v>0.44371968618489782</v>
      </c>
      <c r="R89" s="42">
        <f t="shared" si="43"/>
        <v>0.42287578763774814</v>
      </c>
      <c r="S89" s="42">
        <f t="shared" si="43"/>
        <v>0.37846889812822304</v>
      </c>
      <c r="T89" s="42">
        <f t="shared" si="43"/>
        <v>0.31169677571850463</v>
      </c>
      <c r="U89" s="42">
        <f t="shared" si="43"/>
        <v>0.23576965235607525</v>
      </c>
      <c r="V89" s="42">
        <f t="shared" si="44"/>
        <v>0.16224792190819654</v>
      </c>
      <c r="W89" s="42">
        <f t="shared" si="44"/>
        <v>0.10053965529908977</v>
      </c>
      <c r="X89" s="42">
        <f t="shared" si="44"/>
        <v>4.9138129900219187E-2</v>
      </c>
      <c r="Y89" s="26">
        <f t="shared" si="46"/>
        <v>4.913812990021917</v>
      </c>
      <c r="AA89" s="32">
        <f t="shared" si="47"/>
        <v>4.3686430122450712</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A90" s="62">
        <f t="shared" si="48"/>
        <v>724.6747995450213</v>
      </c>
      <c r="B90" s="62">
        <f t="shared" si="49"/>
        <v>13.25918550067858</v>
      </c>
      <c r="C90" s="7" t="s">
        <v>147</v>
      </c>
      <c r="D90" s="7" t="s">
        <v>136</v>
      </c>
      <c r="E90" s="42">
        <f t="shared" si="45"/>
        <v>5.2847953603782707E-3</v>
      </c>
      <c r="F90" s="42">
        <f t="shared" si="43"/>
        <v>1.0676593510546272E-2</v>
      </c>
      <c r="G90" s="42">
        <f t="shared" si="43"/>
        <v>1.9163996678981946E-2</v>
      </c>
      <c r="H90" s="42">
        <f t="shared" si="43"/>
        <v>3.1521185422544055E-2</v>
      </c>
      <c r="I90" s="42">
        <f t="shared" si="43"/>
        <v>4.8711435854228595E-2</v>
      </c>
      <c r="J90" s="42">
        <f t="shared" si="43"/>
        <v>7.0630272226603091E-2</v>
      </c>
      <c r="K90" s="42">
        <f t="shared" si="43"/>
        <v>9.7223707878053484E-2</v>
      </c>
      <c r="L90" s="42">
        <f t="shared" si="43"/>
        <v>0.12758581918705997</v>
      </c>
      <c r="M90" s="42">
        <f t="shared" si="43"/>
        <v>0.15967039223956558</v>
      </c>
      <c r="N90" s="42">
        <f t="shared" si="43"/>
        <v>0.19199526254504365</v>
      </c>
      <c r="O90" s="42">
        <f t="shared" si="43"/>
        <v>0.21790324661197183</v>
      </c>
      <c r="P90" s="42">
        <f t="shared" si="43"/>
        <v>0.23439218772281772</v>
      </c>
      <c r="Q90" s="42">
        <f t="shared" si="43"/>
        <v>0.23806008673235909</v>
      </c>
      <c r="R90" s="42">
        <f t="shared" si="43"/>
        <v>0.22687712494258808</v>
      </c>
      <c r="S90" s="42">
        <f t="shared" si="43"/>
        <v>0.20305238085912014</v>
      </c>
      <c r="T90" s="42">
        <f t="shared" si="43"/>
        <v>0.16722846376219536</v>
      </c>
      <c r="U90" s="42">
        <f t="shared" si="43"/>
        <v>0.12649279632221952</v>
      </c>
      <c r="V90" s="42">
        <f t="shared" si="44"/>
        <v>8.7047646440269438E-2</v>
      </c>
      <c r="W90" s="42">
        <f t="shared" si="44"/>
        <v>5.3940539051425596E-2</v>
      </c>
      <c r="X90" s="42">
        <f t="shared" si="44"/>
        <v>2.6363102269565803E-2</v>
      </c>
      <c r="Y90" s="26">
        <f t="shared" si="46"/>
        <v>2.6363102269565797</v>
      </c>
      <c r="AA90" s="32">
        <f t="shared" si="47"/>
        <v>2.3438210356175375</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A91" s="62">
        <f t="shared" si="48"/>
        <v>431.17402560129892</v>
      </c>
      <c r="B91" s="62">
        <f t="shared" si="49"/>
        <v>28.191001493484816</v>
      </c>
      <c r="C91" s="7" t="s">
        <v>148</v>
      </c>
      <c r="D91" s="7" t="s">
        <v>136</v>
      </c>
      <c r="E91" s="42">
        <f t="shared" si="45"/>
        <v>2.2762909907743413E-3</v>
      </c>
      <c r="F91" s="42">
        <f t="shared" si="43"/>
        <v>4.5986707077484128E-3</v>
      </c>
      <c r="G91" s="42">
        <f t="shared" si="43"/>
        <v>8.2544034371982936E-3</v>
      </c>
      <c r="H91" s="42">
        <f t="shared" si="43"/>
        <v>1.3576947734590948E-2</v>
      </c>
      <c r="I91" s="42">
        <f t="shared" si="43"/>
        <v>2.0981210249686216E-2</v>
      </c>
      <c r="J91" s="42">
        <f t="shared" si="43"/>
        <v>3.0422190715412665E-2</v>
      </c>
      <c r="K91" s="42">
        <f t="shared" si="43"/>
        <v>4.1876635752391485E-2</v>
      </c>
      <c r="L91" s="42">
        <f t="shared" si="43"/>
        <v>5.4954341835722655E-2</v>
      </c>
      <c r="M91" s="42">
        <f t="shared" si="43"/>
        <v>6.8773954441693499E-2</v>
      </c>
      <c r="N91" s="42">
        <f t="shared" si="43"/>
        <v>8.2697068968694235E-2</v>
      </c>
      <c r="O91" s="42">
        <f t="shared" si="43"/>
        <v>9.3856273194996134E-2</v>
      </c>
      <c r="P91" s="42">
        <f t="shared" si="43"/>
        <v>0.10095846458341362</v>
      </c>
      <c r="Q91" s="42">
        <f t="shared" si="43"/>
        <v>0.1025383186555477</v>
      </c>
      <c r="R91" s="42">
        <f t="shared" si="43"/>
        <v>9.7721542709391179E-2</v>
      </c>
      <c r="S91" s="42">
        <f t="shared" si="43"/>
        <v>8.7459641043094602E-2</v>
      </c>
      <c r="T91" s="42">
        <f t="shared" si="43"/>
        <v>7.2029401236015311E-2</v>
      </c>
      <c r="U91" s="42">
        <f t="shared" si="43"/>
        <v>5.4483550077426723E-2</v>
      </c>
      <c r="V91" s="42">
        <f t="shared" si="44"/>
        <v>3.7493556485773308E-2</v>
      </c>
      <c r="W91" s="42">
        <f t="shared" si="44"/>
        <v>2.3233513259723088E-2</v>
      </c>
      <c r="X91" s="42">
        <f t="shared" si="44"/>
        <v>1.1355234799627105E-2</v>
      </c>
      <c r="Y91" s="26">
        <f t="shared" si="46"/>
        <v>1.1355234799627103</v>
      </c>
      <c r="AA91" s="32">
        <f t="shared" si="47"/>
        <v>1.0095412108789215</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92" s="62">
        <f t="shared" si="48"/>
        <v>431.17402560129892</v>
      </c>
      <c r="B92" s="62">
        <f t="shared" si="49"/>
        <v>41.999968562337358</v>
      </c>
      <c r="C92" s="7" t="s">
        <v>149</v>
      </c>
      <c r="D92" s="7" t="s">
        <v>136</v>
      </c>
      <c r="E92" s="42">
        <f t="shared" si="45"/>
        <v>6.2242321190214805E-4</v>
      </c>
      <c r="F92" s="42">
        <f t="shared" si="43"/>
        <v>1.2574488077305957E-3</v>
      </c>
      <c r="G92" s="42">
        <f t="shared" si="43"/>
        <v>2.2570630558834469E-3</v>
      </c>
      <c r="H92" s="42">
        <f t="shared" si="43"/>
        <v>3.7124460146094906E-3</v>
      </c>
      <c r="I92" s="42">
        <f t="shared" si="43"/>
        <v>5.7370487016519508E-3</v>
      </c>
      <c r="J92" s="42">
        <f t="shared" si="43"/>
        <v>8.3185663585767858E-3</v>
      </c>
      <c r="K92" s="42">
        <f t="shared" si="43"/>
        <v>1.1450640640541809E-2</v>
      </c>
      <c r="L92" s="42">
        <f t="shared" si="43"/>
        <v>1.5026575289358498E-2</v>
      </c>
      <c r="M92" s="42">
        <f t="shared" si="43"/>
        <v>1.8805374968447728E-2</v>
      </c>
      <c r="N92" s="42">
        <f t="shared" si="43"/>
        <v>2.2612475949253905E-2</v>
      </c>
      <c r="O92" s="42">
        <f t="shared" si="43"/>
        <v>2.5663820335783353E-2</v>
      </c>
      <c r="P92" s="42">
        <f t="shared" si="43"/>
        <v>2.7605825463176494E-2</v>
      </c>
      <c r="Q92" s="42">
        <f t="shared" si="43"/>
        <v>2.8037816737534561E-2</v>
      </c>
      <c r="R92" s="42">
        <f t="shared" si="43"/>
        <v>2.6720729788822489E-2</v>
      </c>
      <c r="S92" s="42">
        <f t="shared" si="43"/>
        <v>2.3914741529304086E-2</v>
      </c>
      <c r="T92" s="42">
        <f t="shared" si="43"/>
        <v>1.9695536049834362E-2</v>
      </c>
      <c r="U92" s="42">
        <f t="shared" si="43"/>
        <v>1.4897843189849578E-2</v>
      </c>
      <c r="V92" s="42">
        <f t="shared" si="44"/>
        <v>1.0252142607466446E-2</v>
      </c>
      <c r="W92" s="42">
        <f t="shared" si="44"/>
        <v>6.3529127011870586E-3</v>
      </c>
      <c r="X92" s="42">
        <f t="shared" si="44"/>
        <v>3.1049464873041813E-3</v>
      </c>
      <c r="Y92" s="26">
        <f t="shared" si="46"/>
        <v>0.31049464873041815</v>
      </c>
      <c r="AA92" s="32">
        <f t="shared" si="47"/>
        <v>0.27604637788821895</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93" s="62">
        <f t="shared" si="48"/>
        <v>257.72032972258603</v>
      </c>
      <c r="B93" s="62">
        <f t="shared" si="49"/>
        <v>204.30161429755307</v>
      </c>
      <c r="C93" s="7" t="s">
        <v>146</v>
      </c>
      <c r="D93" s="7" t="s">
        <v>135</v>
      </c>
      <c r="E93" s="42">
        <f t="shared" si="45"/>
        <v>3.3474735370784344E-3</v>
      </c>
      <c r="F93" s="42">
        <f t="shared" si="43"/>
        <v>6.7590355243284375E-3</v>
      </c>
      <c r="G93" s="42">
        <f t="shared" si="43"/>
        <v>1.2121694056260719E-2</v>
      </c>
      <c r="H93" s="42">
        <f t="shared" si="43"/>
        <v>1.9937977734388816E-2</v>
      </c>
      <c r="I93" s="42">
        <f t="shared" si="43"/>
        <v>3.0862368008053972E-2</v>
      </c>
      <c r="J93" s="42">
        <f t="shared" si="43"/>
        <v>4.473540797651826E-2</v>
      </c>
      <c r="K93" s="42">
        <f t="shared" si="43"/>
        <v>6.1587228353742814E-2</v>
      </c>
      <c r="L93" s="42">
        <f t="shared" si="43"/>
        <v>8.0863071644139778E-2</v>
      </c>
      <c r="M93" s="42">
        <f t="shared" si="43"/>
        <v>0.10122031272708044</v>
      </c>
      <c r="N93" s="42">
        <f t="shared" si="43"/>
        <v>0.12191236276888626</v>
      </c>
      <c r="O93" s="42">
        <f t="shared" si="43"/>
        <v>0.13840051767800776</v>
      </c>
      <c r="P93" s="42">
        <f t="shared" si="43"/>
        <v>0.14897116995903306</v>
      </c>
      <c r="Q93" s="42">
        <f t="shared" si="43"/>
        <v>0.1512476739485894</v>
      </c>
      <c r="R93" s="42">
        <f t="shared" si="43"/>
        <v>0.14424304479298475</v>
      </c>
      <c r="S93" s="42">
        <f t="shared" si="43"/>
        <v>0.12931054930458144</v>
      </c>
      <c r="T93" s="42">
        <f t="shared" si="43"/>
        <v>0.10653013241664779</v>
      </c>
      <c r="U93" s="42">
        <f t="shared" si="43"/>
        <v>8.0630601611877822E-2</v>
      </c>
      <c r="V93" s="42">
        <f t="shared" si="44"/>
        <v>5.5521745144789254E-2</v>
      </c>
      <c r="W93" s="42">
        <f t="shared" si="44"/>
        <v>3.4416392328756991E-2</v>
      </c>
      <c r="X93" s="42">
        <f t="shared" si="44"/>
        <v>1.6855598336961305E-2</v>
      </c>
      <c r="Y93" s="26">
        <f t="shared" si="46"/>
        <v>1.6855598336961299</v>
      </c>
      <c r="AA93" s="32">
        <f t="shared" si="47"/>
        <v>1.4894743578527079</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A94" s="62">
        <f t="shared" si="48"/>
        <v>429.10735973962136</v>
      </c>
      <c r="B94" s="62">
        <f t="shared" si="49"/>
        <v>17.261624981414094</v>
      </c>
      <c r="C94" s="7" t="s">
        <v>147</v>
      </c>
      <c r="D94" s="7" t="s">
        <v>135</v>
      </c>
      <c r="E94" s="42">
        <f t="shared" si="45"/>
        <v>2.0061423586732021E-3</v>
      </c>
      <c r="F94" s="42">
        <f t="shared" si="43"/>
        <v>4.0506929536376799E-3</v>
      </c>
      <c r="G94" s="42">
        <f t="shared" si="43"/>
        <v>7.264536563406452E-3</v>
      </c>
      <c r="H94" s="42">
        <f t="shared" si="43"/>
        <v>1.1948838799230622E-2</v>
      </c>
      <c r="I94" s="42">
        <f t="shared" si="43"/>
        <v>1.8495830680697344E-2</v>
      </c>
      <c r="J94" s="42">
        <f t="shared" si="43"/>
        <v>2.6809949617270862E-2</v>
      </c>
      <c r="K94" s="42">
        <f t="shared" si="43"/>
        <v>3.6909252959040725E-2</v>
      </c>
      <c r="L94" s="42">
        <f t="shared" si="43"/>
        <v>4.8461274295634162E-2</v>
      </c>
      <c r="M94" s="42">
        <f t="shared" si="43"/>
        <v>6.0661377803503259E-2</v>
      </c>
      <c r="N94" s="42">
        <f t="shared" si="43"/>
        <v>7.3062132467237445E-2</v>
      </c>
      <c r="O94" s="42">
        <f t="shared" si="43"/>
        <v>8.2943490934502054E-2</v>
      </c>
      <c r="P94" s="42">
        <f t="shared" si="43"/>
        <v>8.9278487481861901E-2</v>
      </c>
      <c r="Q94" s="42">
        <f t="shared" si="43"/>
        <v>9.064279732107379E-2</v>
      </c>
      <c r="R94" s="42">
        <f t="shared" si="43"/>
        <v>8.6444919996516906E-2</v>
      </c>
      <c r="S94" s="42">
        <f t="shared" si="43"/>
        <v>7.7495868902261636E-2</v>
      </c>
      <c r="T94" s="42">
        <f t="shared" si="43"/>
        <v>6.3843555071872352E-2</v>
      </c>
      <c r="U94" s="42">
        <f t="shared" si="43"/>
        <v>4.8321954903359034E-2</v>
      </c>
      <c r="V94" s="42">
        <f t="shared" si="44"/>
        <v>3.3274206212137142E-2</v>
      </c>
      <c r="W94" s="42">
        <f t="shared" si="44"/>
        <v>2.0625759014571431E-2</v>
      </c>
      <c r="X94" s="42">
        <f t="shared" si="44"/>
        <v>1.0101567474696769E-2</v>
      </c>
      <c r="Y94" s="26">
        <f t="shared" si="46"/>
        <v>1.0101567474696769</v>
      </c>
      <c r="AA94" s="32">
        <f t="shared" si="47"/>
        <v>0.89264263581118486</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A95" s="62">
        <f t="shared" si="48"/>
        <v>419.25144960011363</v>
      </c>
      <c r="B95" s="62">
        <f t="shared" si="49"/>
        <v>39.839966914364851</v>
      </c>
      <c r="C95" s="7" t="s">
        <v>148</v>
      </c>
      <c r="D95" s="7" t="s">
        <v>135</v>
      </c>
      <c r="E95" s="42">
        <f t="shared" si="45"/>
        <v>2.1097885726890737E-3</v>
      </c>
      <c r="F95" s="42">
        <f t="shared" si="43"/>
        <v>4.259969721545109E-3</v>
      </c>
      <c r="G95" s="42">
        <f t="shared" si="43"/>
        <v>7.6398547496367266E-3</v>
      </c>
      <c r="H95" s="42">
        <f t="shared" si="43"/>
        <v>1.2566168819740877E-2</v>
      </c>
      <c r="I95" s="42">
        <f t="shared" si="43"/>
        <v>1.9451407345954908E-2</v>
      </c>
      <c r="J95" s="42">
        <f t="shared" si="43"/>
        <v>2.8195070550375616E-2</v>
      </c>
      <c r="K95" s="42">
        <f t="shared" si="43"/>
        <v>3.8816148705905239E-2</v>
      </c>
      <c r="L95" s="42">
        <f t="shared" si="43"/>
        <v>5.0964998712504102E-2</v>
      </c>
      <c r="M95" s="42">
        <f t="shared" si="43"/>
        <v>6.3795413690407005E-2</v>
      </c>
      <c r="N95" s="42">
        <f t="shared" si="43"/>
        <v>7.6836846353027469E-2</v>
      </c>
      <c r="O95" s="42">
        <f t="shared" si="43"/>
        <v>8.7228719634974999E-2</v>
      </c>
      <c r="P95" s="42">
        <f t="shared" si="43"/>
        <v>9.3891010207656028E-2</v>
      </c>
      <c r="Q95" s="42">
        <f t="shared" si="43"/>
        <v>9.5325806345593206E-2</v>
      </c>
      <c r="R95" s="42">
        <f t="shared" si="43"/>
        <v>9.091104805557923E-2</v>
      </c>
      <c r="S95" s="42">
        <f t="shared" si="43"/>
        <v>8.1499649281487535E-2</v>
      </c>
      <c r="T95" s="42">
        <f t="shared" si="43"/>
        <v>6.7141996353422134E-2</v>
      </c>
      <c r="U95" s="42">
        <f t="shared" si="43"/>
        <v>5.0818481462367136E-2</v>
      </c>
      <c r="V95" s="42">
        <f t="shared" si="44"/>
        <v>3.4993299318048274E-2</v>
      </c>
      <c r="W95" s="42">
        <f t="shared" si="44"/>
        <v>2.1691377226470368E-2</v>
      </c>
      <c r="X95" s="42">
        <f t="shared" si="44"/>
        <v>1.0623459263607813E-2</v>
      </c>
      <c r="Y95" s="26">
        <f t="shared" si="46"/>
        <v>1.0623459263607815</v>
      </c>
      <c r="AA95" s="32">
        <f t="shared" si="47"/>
        <v>0.93876051437099295</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A96" s="62">
        <f t="shared" si="48"/>
        <v>419.25144960011363</v>
      </c>
      <c r="B96" s="62">
        <f t="shared" si="49"/>
        <v>50.479270561118348</v>
      </c>
      <c r="C96" s="7" t="s">
        <v>149</v>
      </c>
      <c r="D96" s="7" t="s">
        <v>135</v>
      </c>
      <c r="E96" s="42">
        <f t="shared" si="45"/>
        <v>6.8651397473524242E-4</v>
      </c>
      <c r="F96" s="42">
        <f t="shared" si="43"/>
        <v>1.3861714788142015E-3</v>
      </c>
      <c r="G96" s="42">
        <f t="shared" si="43"/>
        <v>2.4859680815732541E-3</v>
      </c>
      <c r="H96" s="42">
        <f t="shared" si="43"/>
        <v>4.0889644655904321E-3</v>
      </c>
      <c r="I96" s="42">
        <f t="shared" si="43"/>
        <v>6.3293844436011961E-3</v>
      </c>
      <c r="J96" s="42">
        <f t="shared" si="43"/>
        <v>9.1745259226653081E-3</v>
      </c>
      <c r="K96" s="42">
        <f t="shared" si="43"/>
        <v>1.2630568236532214E-2</v>
      </c>
      <c r="L96" s="42">
        <f t="shared" si="43"/>
        <v>1.6583739381004808E-2</v>
      </c>
      <c r="M96" s="42">
        <f t="shared" si="43"/>
        <v>2.0758688140328104E-2</v>
      </c>
      <c r="N96" s="42">
        <f t="shared" si="43"/>
        <v>2.5002300931370097E-2</v>
      </c>
      <c r="O96" s="42">
        <f t="shared" si="43"/>
        <v>2.8383761199041273E-2</v>
      </c>
      <c r="P96" s="42">
        <f t="shared" si="43"/>
        <v>3.0551635099345328E-2</v>
      </c>
      <c r="Q96" s="42">
        <f t="shared" si="43"/>
        <v>3.1018510127649501E-2</v>
      </c>
      <c r="R96" s="42">
        <f t="shared" si="43"/>
        <v>2.9581971272331937E-2</v>
      </c>
      <c r="S96" s="42">
        <f t="shared" si="43"/>
        <v>2.6519552192118115E-2</v>
      </c>
      <c r="T96" s="42">
        <f t="shared" si="43"/>
        <v>2.1847648330703139E-2</v>
      </c>
      <c r="U96" s="42">
        <f t="shared" ref="U96" si="50">VLOOKUP(CONCATENATE($C96&amp;$D96),$B$57:$Y$72,U$34+1,FALSE)*$C$79*$A96/8760/1000</f>
        <v>1.6536063447472479E-2</v>
      </c>
      <c r="V96" s="42">
        <f t="shared" si="44"/>
        <v>1.1386633388251736E-2</v>
      </c>
      <c r="W96" s="42">
        <f t="shared" si="44"/>
        <v>7.0582587231693668E-3</v>
      </c>
      <c r="X96" s="42">
        <f t="shared" si="44"/>
        <v>3.4568171137649593E-3</v>
      </c>
      <c r="Y96" s="26">
        <f t="shared" si="46"/>
        <v>0.34568171137649584</v>
      </c>
      <c r="AA96" s="32">
        <f t="shared" si="47"/>
        <v>0.30546767595006269</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AA97" s="32"/>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60">
        <f>SUMPRODUCT(B81:B96,AA81:AA96)/SUM(AA81:AA96)</f>
        <v>36.373767856962857</v>
      </c>
      <c r="E98" s="26">
        <f>SUM(E81:E96)</f>
        <v>5.7663709567262474E-2</v>
      </c>
      <c r="F98" s="26">
        <f t="shared" ref="F98:Y98" si="51">SUM(F81:F96)</f>
        <v>0.1158435993163569</v>
      </c>
      <c r="G98" s="26">
        <f t="shared" si="51"/>
        <v>0.20674208954674581</v>
      </c>
      <c r="H98" s="26">
        <f t="shared" si="51"/>
        <v>0.33818856587896839</v>
      </c>
      <c r="I98" s="26">
        <f t="shared" si="51"/>
        <v>0.51806937168895828</v>
      </c>
      <c r="J98" s="26">
        <f t="shared" si="51"/>
        <v>0.74676449928009458</v>
      </c>
      <c r="K98" s="26">
        <f t="shared" si="51"/>
        <v>1.022305334386002</v>
      </c>
      <c r="L98" s="26">
        <f t="shared" si="51"/>
        <v>1.334210772006162</v>
      </c>
      <c r="M98" s="26">
        <f t="shared" si="51"/>
        <v>1.6610666134035827</v>
      </c>
      <c r="N98" s="26">
        <f t="shared" si="51"/>
        <v>1.9796319633841555</v>
      </c>
      <c r="O98" s="26">
        <f t="shared" si="51"/>
        <v>2.235850913540411</v>
      </c>
      <c r="P98" s="26">
        <f t="shared" si="51"/>
        <v>2.3942292144501347</v>
      </c>
      <c r="Q98" s="26">
        <f t="shared" si="51"/>
        <v>2.4202174026329621</v>
      </c>
      <c r="R98" s="26">
        <f t="shared" si="51"/>
        <v>2.2966805263924313</v>
      </c>
      <c r="S98" s="26">
        <f t="shared" si="51"/>
        <v>2.0400684832300686</v>
      </c>
      <c r="T98" s="26">
        <f t="shared" si="51"/>
        <v>1.6724493716021285</v>
      </c>
      <c r="U98" s="26">
        <f t="shared" si="51"/>
        <v>1.2592487591746968</v>
      </c>
      <c r="V98" s="26">
        <f t="shared" si="51"/>
        <v>0.86269217007936716</v>
      </c>
      <c r="W98" s="26">
        <f t="shared" si="51"/>
        <v>0.53231215520601216</v>
      </c>
      <c r="X98" s="26">
        <f t="shared" si="51"/>
        <v>0.25820882210231544</v>
      </c>
      <c r="Y98" s="26">
        <f t="shared" si="51"/>
        <v>25.820882210231542</v>
      </c>
      <c r="AA98" s="32">
        <f>SUM(E98:X98)</f>
        <v>23.952444336868812</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80">
      <c r="D100" s="26"/>
      <c r="E100" s="26">
        <f>E98</f>
        <v>5.7663709567262474E-2</v>
      </c>
      <c r="F100" s="26">
        <f>F98+E100</f>
        <v>0.17350730888361937</v>
      </c>
      <c r="G100" s="26">
        <f t="shared" ref="G100:X100" si="52">G98+F100</f>
        <v>0.3802493984303652</v>
      </c>
      <c r="H100" s="26">
        <f t="shared" si="52"/>
        <v>0.7184379643093336</v>
      </c>
      <c r="I100" s="26">
        <f t="shared" si="52"/>
        <v>1.2365073359982919</v>
      </c>
      <c r="J100" s="26">
        <f t="shared" si="52"/>
        <v>1.9832718352783865</v>
      </c>
      <c r="K100" s="26">
        <f t="shared" si="52"/>
        <v>3.0055771696643885</v>
      </c>
      <c r="L100" s="26">
        <f t="shared" si="52"/>
        <v>4.3397879416705507</v>
      </c>
      <c r="M100" s="26">
        <f t="shared" si="52"/>
        <v>6.0008545550741337</v>
      </c>
      <c r="N100" s="26">
        <f t="shared" si="52"/>
        <v>7.9804865184582887</v>
      </c>
      <c r="O100" s="26">
        <f t="shared" si="52"/>
        <v>10.216337431998699</v>
      </c>
      <c r="P100" s="26">
        <f t="shared" si="52"/>
        <v>12.610566646448834</v>
      </c>
      <c r="Q100" s="26">
        <f t="shared" si="52"/>
        <v>15.030784049081797</v>
      </c>
      <c r="R100" s="26">
        <f t="shared" si="52"/>
        <v>17.327464575474227</v>
      </c>
      <c r="S100" s="26">
        <f t="shared" si="52"/>
        <v>19.367533058704296</v>
      </c>
      <c r="T100" s="26">
        <f t="shared" si="52"/>
        <v>21.039982430306424</v>
      </c>
      <c r="U100" s="26">
        <f t="shared" si="52"/>
        <v>22.299231189481119</v>
      </c>
      <c r="V100" s="26">
        <f t="shared" si="52"/>
        <v>23.161923359560486</v>
      </c>
      <c r="W100" s="26">
        <f t="shared" si="52"/>
        <v>23.694235514766497</v>
      </c>
      <c r="X100" s="26">
        <f t="shared" si="52"/>
        <v>23.952444336868812</v>
      </c>
      <c r="Y100" s="26"/>
      <c r="Z100" s="26"/>
      <c r="AA100" s="26">
        <f>SUM(AA81:AA96)</f>
        <v>23.952444336868815</v>
      </c>
      <c r="AB100" s="43"/>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80">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80">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80" ht="15">
      <c r="A103" s="49" t="s">
        <v>37</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80" ht="15">
      <c r="E104" s="51">
        <f t="shared" ref="E104:X104" si="53">E11</f>
        <v>2016</v>
      </c>
      <c r="F104" s="52">
        <f t="shared" si="53"/>
        <v>2017</v>
      </c>
      <c r="G104" s="52">
        <f t="shared" si="53"/>
        <v>2018</v>
      </c>
      <c r="H104" s="52">
        <f t="shared" si="53"/>
        <v>2019</v>
      </c>
      <c r="I104" s="52">
        <f t="shared" si="53"/>
        <v>2020</v>
      </c>
      <c r="J104" s="52">
        <f t="shared" si="53"/>
        <v>2021</v>
      </c>
      <c r="K104" s="52">
        <f t="shared" si="53"/>
        <v>2022</v>
      </c>
      <c r="L104" s="52">
        <f t="shared" si="53"/>
        <v>2023</v>
      </c>
      <c r="M104" s="52">
        <f t="shared" si="53"/>
        <v>2024</v>
      </c>
      <c r="N104" s="52">
        <f t="shared" si="53"/>
        <v>2025</v>
      </c>
      <c r="O104" s="52">
        <f t="shared" si="53"/>
        <v>2026</v>
      </c>
      <c r="P104" s="52">
        <f t="shared" si="53"/>
        <v>2027</v>
      </c>
      <c r="Q104" s="52">
        <f t="shared" si="53"/>
        <v>2028</v>
      </c>
      <c r="R104" s="52">
        <f t="shared" si="53"/>
        <v>2029</v>
      </c>
      <c r="S104" s="52">
        <f t="shared" si="53"/>
        <v>2030</v>
      </c>
      <c r="T104" s="52">
        <f t="shared" si="53"/>
        <v>2031</v>
      </c>
      <c r="U104" s="52">
        <f t="shared" si="53"/>
        <v>2032</v>
      </c>
      <c r="V104" s="52">
        <f t="shared" si="53"/>
        <v>2033</v>
      </c>
      <c r="W104" s="52">
        <f t="shared" si="53"/>
        <v>2034</v>
      </c>
      <c r="X104" s="52">
        <f t="shared" si="53"/>
        <v>2035</v>
      </c>
      <c r="Y104" s="53" t="s">
        <v>31</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80" ht="15">
      <c r="C105" s="44" t="s">
        <v>35</v>
      </c>
      <c r="D105" s="44" t="s">
        <v>35</v>
      </c>
      <c r="E105" s="54" t="str">
        <f t="shared" ref="E105:X105" si="54">CONCATENATE("Units_",E$11)</f>
        <v>Units_2016</v>
      </c>
      <c r="F105" s="55" t="str">
        <f t="shared" si="54"/>
        <v>Units_2017</v>
      </c>
      <c r="G105" s="55" t="str">
        <f t="shared" si="54"/>
        <v>Units_2018</v>
      </c>
      <c r="H105" s="55" t="str">
        <f t="shared" si="54"/>
        <v>Units_2019</v>
      </c>
      <c r="I105" s="55" t="str">
        <f t="shared" si="54"/>
        <v>Units_2020</v>
      </c>
      <c r="J105" s="55" t="str">
        <f t="shared" si="54"/>
        <v>Units_2021</v>
      </c>
      <c r="K105" s="55" t="str">
        <f t="shared" si="54"/>
        <v>Units_2022</v>
      </c>
      <c r="L105" s="55" t="str">
        <f t="shared" si="54"/>
        <v>Units_2023</v>
      </c>
      <c r="M105" s="55" t="str">
        <f t="shared" si="54"/>
        <v>Units_2024</v>
      </c>
      <c r="N105" s="55" t="str">
        <f t="shared" si="54"/>
        <v>Units_2025</v>
      </c>
      <c r="O105" s="55" t="str">
        <f t="shared" si="54"/>
        <v>Units_2026</v>
      </c>
      <c r="P105" s="55" t="str">
        <f t="shared" si="54"/>
        <v>Units_2027</v>
      </c>
      <c r="Q105" s="55" t="str">
        <f t="shared" si="54"/>
        <v>Units_2028</v>
      </c>
      <c r="R105" s="55" t="str">
        <f t="shared" si="54"/>
        <v>Units_2029</v>
      </c>
      <c r="S105" s="55" t="str">
        <f t="shared" si="54"/>
        <v>Units_2030</v>
      </c>
      <c r="T105" s="55" t="str">
        <f t="shared" si="54"/>
        <v>Units_2031</v>
      </c>
      <c r="U105" s="55" t="str">
        <f t="shared" si="54"/>
        <v>Units_2032</v>
      </c>
      <c r="V105" s="55" t="str">
        <f t="shared" si="54"/>
        <v>Units_2033</v>
      </c>
      <c r="W105" s="55" t="str">
        <f t="shared" si="54"/>
        <v>Units_2034</v>
      </c>
      <c r="X105" s="55" t="str">
        <f t="shared" si="54"/>
        <v>Units_2035</v>
      </c>
      <c r="Y105" s="56" t="s">
        <v>31</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80">
      <c r="B106" s="7" t="s">
        <v>38</v>
      </c>
      <c r="C106" s="45" t="s">
        <v>39</v>
      </c>
      <c r="D106" s="45" t="s">
        <v>40</v>
      </c>
      <c r="E106" s="42">
        <f>DSUM($B$80:$Y$96,E$80,$C$105:$D106)</f>
        <v>0</v>
      </c>
      <c r="F106" s="42">
        <f>DSUM($B$80:$Y$96,F$80,$C$105:$D106)</f>
        <v>0</v>
      </c>
      <c r="G106" s="42">
        <f>DSUM($B$80:$Y$96,G$80,$C$105:$D106)</f>
        <v>0</v>
      </c>
      <c r="H106" s="42">
        <f>DSUM($B$80:$Y$96,H$80,$C$105:$D106)</f>
        <v>0</v>
      </c>
      <c r="I106" s="42">
        <f>DSUM($B$80:$Y$96,I$80,$C$105:$D106)</f>
        <v>0</v>
      </c>
      <c r="J106" s="42">
        <f>DSUM($B$80:$Y$96,J$80,$C$105:$D106)</f>
        <v>0</v>
      </c>
      <c r="K106" s="42">
        <f>DSUM($B$80:$Y$96,K$80,$C$105:$D106)</f>
        <v>0</v>
      </c>
      <c r="L106" s="42">
        <f>DSUM($B$80:$Y$96,L$80,$C$105:$D106)</f>
        <v>0</v>
      </c>
      <c r="M106" s="42">
        <f>DSUM($B$80:$Y$96,M$80,$C$105:$D106)</f>
        <v>0</v>
      </c>
      <c r="N106" s="42">
        <f>DSUM($B$80:$Y$96,N$80,$C$105:$D106)</f>
        <v>0</v>
      </c>
      <c r="O106" s="42">
        <f>DSUM($B$80:$Y$96,O$80,$C$105:$D106)</f>
        <v>0</v>
      </c>
      <c r="P106" s="42">
        <f>DSUM($B$80:$Y$96,P$80,$C$105:$D106)</f>
        <v>0</v>
      </c>
      <c r="Q106" s="42">
        <f>DSUM($B$80:$Y$96,Q$80,$C$105:$D106)</f>
        <v>0</v>
      </c>
      <c r="R106" s="42">
        <f>DSUM($B$80:$Y$96,R$80,$C$105:$D106)</f>
        <v>0</v>
      </c>
      <c r="S106" s="42">
        <f>DSUM($B$80:$Y$96,S$80,$C$105:$D106)</f>
        <v>0</v>
      </c>
      <c r="T106" s="42">
        <f>DSUM($B$80:$Y$96,T$80,$C$105:$D106)</f>
        <v>0</v>
      </c>
      <c r="U106" s="42">
        <f>DSUM($B$80:$Y$96,U$80,$C$105:$D106)</f>
        <v>0</v>
      </c>
      <c r="V106" s="42">
        <f>DSUM($B$80:$Y$96,V$80,$C$105:$D106)</f>
        <v>0</v>
      </c>
      <c r="W106" s="42">
        <f>DSUM($B$80:$Y$96,W$80,$C$105:$D106)</f>
        <v>0</v>
      </c>
      <c r="X106" s="42">
        <f>DSUM($B$80:$Y$96,X$80,$C$105:$D106)</f>
        <v>0</v>
      </c>
      <c r="Y106" s="42">
        <f>DSUM($B$80:$Y$96,Y$80,$C$105:$D106)</f>
        <v>0</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80">
      <c r="B107" s="7" t="s">
        <v>41</v>
      </c>
      <c r="C107" s="45" t="s">
        <v>42</v>
      </c>
      <c r="D107" s="45" t="s">
        <v>43</v>
      </c>
      <c r="E107" s="42">
        <f>DSUM($B$80:$Y$96,E$80,$C$105:$D107)</f>
        <v>9.8503187621484783E-3</v>
      </c>
      <c r="F107" s="42">
        <f>DSUM($B$80:$Y$96,F$80,$C$105:$D107)</f>
        <v>1.9900079795187941E-2</v>
      </c>
      <c r="G107" s="42">
        <f>DSUM($B$80:$Y$96,G$80,$C$105:$D107)</f>
        <v>3.5719732396831204E-2</v>
      </c>
      <c r="H107" s="42">
        <f>DSUM($B$80:$Y$96,H$80,$C$105:$D107)</f>
        <v>5.8752270050173236E-2</v>
      </c>
      <c r="I107" s="42">
        <f>DSUM($B$80:$Y$96,I$80,$C$105:$D107)</f>
        <v>9.0793141040707293E-2</v>
      </c>
      <c r="J107" s="42">
        <f>DSUM($B$80:$Y$96,J$80,$C$105:$D107)</f>
        <v>0.13164761324638391</v>
      </c>
      <c r="K107" s="42">
        <f>DSUM($B$80:$Y$96,K$80,$C$105:$D107)</f>
        <v>0.18121506104415827</v>
      </c>
      <c r="L107" s="42">
        <f>DSUM($B$80:$Y$96,L$80,$C$105:$D107)</f>
        <v>0.23780693533465866</v>
      </c>
      <c r="M107" s="42">
        <f>DSUM($B$80:$Y$96,M$80,$C$105:$D107)</f>
        <v>0.29760930238260397</v>
      </c>
      <c r="N107" s="42">
        <f>DSUM($B$80:$Y$96,N$80,$C$105:$D107)</f>
        <v>0.35785955896610128</v>
      </c>
      <c r="O107" s="42">
        <f>DSUM($B$80:$Y$96,O$80,$C$105:$D107)</f>
        <v>0.40614939502242869</v>
      </c>
      <c r="P107" s="42">
        <f>DSUM($B$80:$Y$96,P$80,$C$105:$D107)</f>
        <v>0.43688309707073308</v>
      </c>
      <c r="Q107" s="42">
        <f>DSUM($B$80:$Y$96,Q$80,$C$105:$D107)</f>
        <v>0.44371968618489782</v>
      </c>
      <c r="R107" s="42">
        <f>DSUM($B$80:$Y$96,R$80,$C$105:$D107)</f>
        <v>0.42287578763774814</v>
      </c>
      <c r="S107" s="42">
        <f>DSUM($B$80:$Y$96,S$80,$C$105:$D107)</f>
        <v>0.37846889812822304</v>
      </c>
      <c r="T107" s="42">
        <f>DSUM($B$80:$Y$96,T$80,$C$105:$D107)</f>
        <v>0.31169677571850463</v>
      </c>
      <c r="U107" s="42">
        <f>DSUM($B$80:$Y$96,U$80,$C$105:$D107)</f>
        <v>0.23576965235607525</v>
      </c>
      <c r="V107" s="42">
        <f>DSUM($B$80:$Y$96,V$80,$C$105:$D107)</f>
        <v>0.16224792190819654</v>
      </c>
      <c r="W107" s="42">
        <f>DSUM($B$80:$Y$96,W$80,$C$105:$D107)</f>
        <v>0.10053965529908977</v>
      </c>
      <c r="X107" s="42">
        <f>DSUM($B$80:$Y$96,X$80,$C$105:$D107)</f>
        <v>4.9138129900219187E-2</v>
      </c>
      <c r="Y107" s="42">
        <f>DSUM($B$80:$Y$96,Y$80,$C$105:$D107)</f>
        <v>4.913812990021917</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80">
      <c r="B108" s="7" t="s">
        <v>44</v>
      </c>
      <c r="C108" s="45" t="s">
        <v>45</v>
      </c>
      <c r="D108" s="45" t="s">
        <v>46</v>
      </c>
      <c r="E108" s="42">
        <f>DSUM($B$80:$Y$96,E$80,$C$105:$D108)</f>
        <v>4.2434520727623867E-2</v>
      </c>
      <c r="F108" s="42">
        <f>DSUM($B$80:$Y$96,F$80,$C$105:$D108)</f>
        <v>8.5193264474949154E-2</v>
      </c>
      <c r="G108" s="42">
        <f>DSUM($B$80:$Y$96,G$80,$C$105:$D108)</f>
        <v>0.15194590818462494</v>
      </c>
      <c r="H108" s="42">
        <f>DSUM($B$80:$Y$96,H$80,$C$105:$D108)</f>
        <v>0.24837987732661762</v>
      </c>
      <c r="I108" s="42">
        <f>DSUM($B$80:$Y$96,I$80,$C$105:$D108)</f>
        <v>0.38004271249797134</v>
      </c>
      <c r="J108" s="42">
        <f>DSUM($B$80:$Y$96,J$80,$C$105:$D108)</f>
        <v>0.54745609740687484</v>
      </c>
      <c r="K108" s="42">
        <f>DSUM($B$80:$Y$96,K$80,$C$105:$D108)</f>
        <v>0.74896705995837742</v>
      </c>
      <c r="L108" s="42">
        <f>DSUM($B$80:$Y$96,L$80,$C$105:$D108)</f>
        <v>0.97679063799179378</v>
      </c>
      <c r="M108" s="42">
        <f>DSUM($B$80:$Y$96,M$80,$C$105:$D108)</f>
        <v>1.2153019006417558</v>
      </c>
      <c r="N108" s="42">
        <f>DSUM($B$80:$Y$96,N$80,$C$105:$D108)</f>
        <v>1.446685859811369</v>
      </c>
      <c r="O108" s="42">
        <f>DSUM($B$80:$Y$96,O$80,$C$105:$D108)</f>
        <v>1.6329016118078914</v>
      </c>
      <c r="P108" s="42">
        <f>DSUM($B$80:$Y$96,P$80,$C$105:$D108)</f>
        <v>1.7474515409982163</v>
      </c>
      <c r="Q108" s="42">
        <f>DSUM($B$80:$Y$96,Q$80,$C$105:$D108)</f>
        <v>1.7654538705831351</v>
      </c>
      <c r="R108" s="42">
        <f>DSUM($B$80:$Y$96,R$80,$C$105:$D108)</f>
        <v>1.6742893985682874</v>
      </c>
      <c r="S108" s="42">
        <f>DSUM($B$80:$Y$96,S$80,$C$105:$D108)</f>
        <v>1.4856344273411586</v>
      </c>
      <c r="T108" s="42">
        <f>DSUM($B$80:$Y$96,T$80,$C$105:$D108)</f>
        <v>1.2171705498609684</v>
      </c>
      <c r="U108" s="42">
        <f>DSUM($B$80:$Y$96,U$80,$C$105:$D108)</f>
        <v>0.91584951910060119</v>
      </c>
      <c r="V108" s="42">
        <f>DSUM($B$80:$Y$96,V$80,$C$105:$D108)</f>
        <v>0.62702781457249512</v>
      </c>
      <c r="W108" s="42">
        <f>DSUM($B$80:$Y$96,W$80,$C$105:$D108)</f>
        <v>0.3866699157329061</v>
      </c>
      <c r="X108" s="42">
        <f>DSUM($B$80:$Y$96,X$80,$C$105:$D108)</f>
        <v>0.18734872152878185</v>
      </c>
      <c r="Y108" s="42">
        <f>DSUM($B$80:$Y$96,Y$80,$C$105:$D108)</f>
        <v>18.734872152878179</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80">
      <c r="B109" s="7" t="s">
        <v>47</v>
      </c>
      <c r="C109" s="45" t="s">
        <v>48</v>
      </c>
      <c r="D109" s="45" t="s">
        <v>49</v>
      </c>
      <c r="E109" s="42">
        <f>DSUM($B$80:$Y$96,E$80,$C$105:$D109)</f>
        <v>4.5163479006248675E-2</v>
      </c>
      <c r="F109" s="42">
        <f>DSUM($B$80:$Y$96,F$80,$C$105:$D109)</f>
        <v>9.0706603455902798E-2</v>
      </c>
      <c r="G109" s="42">
        <f>DSUM($B$80:$Y$96,G$80,$C$105:$D109)</f>
        <v>0.16184154943788504</v>
      </c>
      <c r="H109" s="42">
        <f>DSUM($B$80:$Y$96,H$80,$C$105:$D109)</f>
        <v>0.26465522874786956</v>
      </c>
      <c r="I109" s="42">
        <f>DSUM($B$80:$Y$96,I$80,$C$105:$D109)</f>
        <v>0.40516378730819974</v>
      </c>
      <c r="J109" s="42">
        <f>DSUM($B$80:$Y$96,J$80,$C$105:$D109)</f>
        <v>0.58385285688530353</v>
      </c>
      <c r="K109" s="42">
        <f>DSUM($B$80:$Y$96,K$80,$C$105:$D109)</f>
        <v>0.79903294800251168</v>
      </c>
      <c r="L109" s="42">
        <f>DSUM($B$80:$Y$96,L$80,$C$105:$D109)</f>
        <v>1.0424453269568164</v>
      </c>
      <c r="M109" s="42">
        <f>DSUM($B$80:$Y$96,M$80,$C$105:$D109)</f>
        <v>1.2974181471630408</v>
      </c>
      <c r="N109" s="42">
        <f>DSUM($B$80:$Y$96,N$80,$C$105:$D109)</f>
        <v>1.5452477428177227</v>
      </c>
      <c r="O109" s="42">
        <f>DSUM($B$80:$Y$96,O$80,$C$105:$D109)</f>
        <v>1.7447079595037505</v>
      </c>
      <c r="P109" s="42">
        <f>DSUM($B$80:$Y$96,P$80,$C$105:$D109)</f>
        <v>1.8676696098011203</v>
      </c>
      <c r="Q109" s="42">
        <f>DSUM($B$80:$Y$96,Q$80,$C$105:$D109)</f>
        <v>1.8875001987598208</v>
      </c>
      <c r="R109" s="42">
        <f>DSUM($B$80:$Y$96,R$80,$C$105:$D109)</f>
        <v>1.7905617715982631</v>
      </c>
      <c r="S109" s="42">
        <f>DSUM($B$80:$Y$96,S$80,$C$105:$D109)</f>
        <v>1.5895483715691063</v>
      </c>
      <c r="T109" s="42">
        <f>DSUM($B$80:$Y$96,T$80,$C$105:$D109)</f>
        <v>1.3027124177103406</v>
      </c>
      <c r="U109" s="42">
        <f>DSUM($B$80:$Y$96,U$80,$C$105:$D109)</f>
        <v>0.98052267605033216</v>
      </c>
      <c r="V109" s="42">
        <f>DSUM($B$80:$Y$96,V$80,$C$105:$D109)</f>
        <v>0.67151293501274545</v>
      </c>
      <c r="W109" s="42">
        <f>DSUM($B$80:$Y$96,W$80,$C$105:$D109)</f>
        <v>0.41422513406874972</v>
      </c>
      <c r="X109" s="42">
        <f>DSUM($B$80:$Y$96,X$80,$C$105:$D109)</f>
        <v>0.20079556259969994</v>
      </c>
      <c r="Y109" s="42">
        <f>DSUM($B$80:$Y$96,Y$80,$C$105:$D109)</f>
        <v>20.079556259969991</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80">
      <c r="B110" s="7" t="s">
        <v>50</v>
      </c>
      <c r="C110" s="45" t="s">
        <v>51</v>
      </c>
      <c r="D110" s="45" t="s">
        <v>52</v>
      </c>
      <c r="E110" s="42">
        <f>DSUM($B$80:$Y$96,E$80,$C$105:$D110)</f>
        <v>4.7464754922478793E-2</v>
      </c>
      <c r="F110" s="42">
        <f>DSUM($B$80:$Y$96,F$80,$C$105:$D110)</f>
        <v>9.5353496205813959E-2</v>
      </c>
      <c r="G110" s="42">
        <f>DSUM($B$80:$Y$96,G$80,$C$105:$D110)</f>
        <v>0.17017568070794178</v>
      </c>
      <c r="H110" s="42">
        <f>DSUM($B$80:$Y$96,H$80,$C$105:$D110)</f>
        <v>0.27836287645868246</v>
      </c>
      <c r="I110" s="42">
        <f>DSUM($B$80:$Y$96,I$80,$C$105:$D110)</f>
        <v>0.42636644041145766</v>
      </c>
      <c r="J110" s="42">
        <f>DSUM($B$80:$Y$96,J$80,$C$105:$D110)</f>
        <v>0.61457528987590759</v>
      </c>
      <c r="K110" s="42">
        <f>DSUM($B$80:$Y$96,K$80,$C$105:$D110)</f>
        <v>0.84131331470919135</v>
      </c>
      <c r="L110" s="42">
        <f>DSUM($B$80:$Y$96,L$80,$C$105:$D110)</f>
        <v>1.0979367871604671</v>
      </c>
      <c r="M110" s="42">
        <f>DSUM($B$80:$Y$96,M$80,$C$105:$D110)</f>
        <v>1.3668576180575855</v>
      </c>
      <c r="N110" s="42">
        <f>DSUM($B$80:$Y$96,N$80,$C$105:$D110)</f>
        <v>1.628795723766471</v>
      </c>
      <c r="O110" s="42">
        <f>DSUM($B$80:$Y$96,O$80,$C$105:$D110)</f>
        <v>1.8395299207419709</v>
      </c>
      <c r="P110" s="42">
        <f>DSUM($B$80:$Y$96,P$80,$C$105:$D110)</f>
        <v>1.9697078189529613</v>
      </c>
      <c r="Q110" s="42">
        <f>DSUM($B$80:$Y$96,Q$80,$C$105:$D110)</f>
        <v>1.991078284475357</v>
      </c>
      <c r="R110" s="42">
        <f>DSUM($B$80:$Y$96,R$80,$C$105:$D110)</f>
        <v>1.8893201930203558</v>
      </c>
      <c r="S110" s="42">
        <f>DSUM($B$80:$Y$96,S$80,$C$105:$D110)</f>
        <v>1.6780085211810871</v>
      </c>
      <c r="T110" s="42">
        <f>DSUM($B$80:$Y$96,T$80,$C$105:$D110)</f>
        <v>1.3755704585094877</v>
      </c>
      <c r="U110" s="42">
        <f>DSUM($B$80:$Y$96,U$80,$C$105:$D110)</f>
        <v>1.0356515656293772</v>
      </c>
      <c r="V110" s="42">
        <f>DSUM($B$80:$Y$96,V$80,$C$105:$D110)</f>
        <v>0.70946380613855031</v>
      </c>
      <c r="W110" s="42">
        <f>DSUM($B$80:$Y$96,W$80,$C$105:$D110)</f>
        <v>0.43774467923844379</v>
      </c>
      <c r="X110" s="42">
        <f>DSUM($B$80:$Y$96,X$80,$C$105:$D110)</f>
        <v>0.21230381327495407</v>
      </c>
      <c r="Y110" s="42">
        <f>DSUM($B$80:$Y$96,Y$80,$C$105:$D110)</f>
        <v>21.230381327495405</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80">
      <c r="B111" s="7" t="s">
        <v>53</v>
      </c>
      <c r="C111" s="45" t="s">
        <v>54</v>
      </c>
      <c r="D111" s="45" t="s">
        <v>55</v>
      </c>
      <c r="E111" s="42">
        <f>DSUM($B$80:$Y$96,E$80,$C$105:$D111)</f>
        <v>4.8087178134380938E-2</v>
      </c>
      <c r="F111" s="42">
        <f>DSUM($B$80:$Y$96,F$80,$C$105:$D111)</f>
        <v>9.6610945013544558E-2</v>
      </c>
      <c r="G111" s="42">
        <f>DSUM($B$80:$Y$96,G$80,$C$105:$D111)</f>
        <v>0.17243274376382522</v>
      </c>
      <c r="H111" s="42">
        <f>DSUM($B$80:$Y$96,H$80,$C$105:$D111)</f>
        <v>0.28207532247329198</v>
      </c>
      <c r="I111" s="42">
        <f>DSUM($B$80:$Y$96,I$80,$C$105:$D111)</f>
        <v>0.43210348911310958</v>
      </c>
      <c r="J111" s="42">
        <f>DSUM($B$80:$Y$96,J$80,$C$105:$D111)</f>
        <v>0.62289385623448434</v>
      </c>
      <c r="K111" s="42">
        <f>DSUM($B$80:$Y$96,K$80,$C$105:$D111)</f>
        <v>0.85276395534973315</v>
      </c>
      <c r="L111" s="42">
        <f>DSUM($B$80:$Y$96,L$80,$C$105:$D111)</f>
        <v>1.1129633624498254</v>
      </c>
      <c r="M111" s="42">
        <f>DSUM($B$80:$Y$96,M$80,$C$105:$D111)</f>
        <v>1.3856629930260334</v>
      </c>
      <c r="N111" s="42">
        <f>DSUM($B$80:$Y$96,N$80,$C$105:$D111)</f>
        <v>1.6514081997157248</v>
      </c>
      <c r="O111" s="42">
        <f>DSUM($B$80:$Y$96,O$80,$C$105:$D111)</f>
        <v>1.8651937410777542</v>
      </c>
      <c r="P111" s="42">
        <f>DSUM($B$80:$Y$96,P$80,$C$105:$D111)</f>
        <v>1.9973136444161379</v>
      </c>
      <c r="Q111" s="42">
        <f>DSUM($B$80:$Y$96,Q$80,$C$105:$D111)</f>
        <v>2.0191161012128913</v>
      </c>
      <c r="R111" s="42">
        <f>DSUM($B$80:$Y$96,R$80,$C$105:$D111)</f>
        <v>1.9160409228091784</v>
      </c>
      <c r="S111" s="42">
        <f>DSUM($B$80:$Y$96,S$80,$C$105:$D111)</f>
        <v>1.7019232627103913</v>
      </c>
      <c r="T111" s="42">
        <f>DSUM($B$80:$Y$96,T$80,$C$105:$D111)</f>
        <v>1.395265994559322</v>
      </c>
      <c r="U111" s="42">
        <f>DSUM($B$80:$Y$96,U$80,$C$105:$D111)</f>
        <v>1.0505494088192266</v>
      </c>
      <c r="V111" s="42">
        <f>DSUM($B$80:$Y$96,V$80,$C$105:$D111)</f>
        <v>0.71971594874601674</v>
      </c>
      <c r="W111" s="42">
        <f>DSUM($B$80:$Y$96,W$80,$C$105:$D111)</f>
        <v>0.44409759193963083</v>
      </c>
      <c r="X111" s="42">
        <f>DSUM($B$80:$Y$96,X$80,$C$105:$D111)</f>
        <v>0.21540875976225826</v>
      </c>
      <c r="Y111" s="42">
        <f>DSUM($B$80:$Y$96,Y$80,$C$105:$D111)</f>
        <v>21.540875976225824</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80">
      <c r="B112" s="7" t="s">
        <v>56</v>
      </c>
      <c r="C112" s="45" t="s">
        <v>57</v>
      </c>
      <c r="D112" s="45" t="s">
        <v>58</v>
      </c>
      <c r="E112" s="42">
        <f>DSUM($B$80:$Y$96,E$80,$C$105:$D112)</f>
        <v>4.8773692109116182E-2</v>
      </c>
      <c r="F112" s="42">
        <f>DSUM($B$80:$Y$96,F$80,$C$105:$D112)</f>
        <v>9.799711649235876E-2</v>
      </c>
      <c r="G112" s="42">
        <f>DSUM($B$80:$Y$96,G$80,$C$105:$D112)</f>
        <v>0.17491871184539848</v>
      </c>
      <c r="H112" s="42">
        <f>DSUM($B$80:$Y$96,H$80,$C$105:$D112)</f>
        <v>0.28616428693888241</v>
      </c>
      <c r="I112" s="42">
        <f>DSUM($B$80:$Y$96,I$80,$C$105:$D112)</f>
        <v>0.43843287355671079</v>
      </c>
      <c r="J112" s="42">
        <f>DSUM($B$80:$Y$96,J$80,$C$105:$D112)</f>
        <v>0.63206838215714967</v>
      </c>
      <c r="K112" s="42">
        <f>DSUM($B$80:$Y$96,K$80,$C$105:$D112)</f>
        <v>0.86539452358626534</v>
      </c>
      <c r="L112" s="42">
        <f>DSUM($B$80:$Y$96,L$80,$C$105:$D112)</f>
        <v>1.1295471018308303</v>
      </c>
      <c r="M112" s="42">
        <f>DSUM($B$80:$Y$96,M$80,$C$105:$D112)</f>
        <v>1.4064216811663615</v>
      </c>
      <c r="N112" s="42">
        <f>DSUM($B$80:$Y$96,N$80,$C$105:$D112)</f>
        <v>1.6764105006470948</v>
      </c>
      <c r="O112" s="42">
        <f>DSUM($B$80:$Y$96,O$80,$C$105:$D112)</f>
        <v>1.8935775022767953</v>
      </c>
      <c r="P112" s="42">
        <f>DSUM($B$80:$Y$96,P$80,$C$105:$D112)</f>
        <v>2.027865279515483</v>
      </c>
      <c r="Q112" s="42">
        <f>DSUM($B$80:$Y$96,Q$80,$C$105:$D112)</f>
        <v>2.0501346113405408</v>
      </c>
      <c r="R112" s="42">
        <f>DSUM($B$80:$Y$96,R$80,$C$105:$D112)</f>
        <v>1.9456228940815103</v>
      </c>
      <c r="S112" s="42">
        <f>DSUM($B$80:$Y$96,S$80,$C$105:$D112)</f>
        <v>1.7284428149025095</v>
      </c>
      <c r="T112" s="42">
        <f>DSUM($B$80:$Y$96,T$80,$C$105:$D112)</f>
        <v>1.4171136428900251</v>
      </c>
      <c r="U112" s="42">
        <f>DSUM($B$80:$Y$96,U$80,$C$105:$D112)</f>
        <v>1.0670854722666991</v>
      </c>
      <c r="V112" s="42">
        <f>DSUM($B$80:$Y$96,V$80,$C$105:$D112)</f>
        <v>0.73110258213426849</v>
      </c>
      <c r="W112" s="42">
        <f>DSUM($B$80:$Y$96,W$80,$C$105:$D112)</f>
        <v>0.45115585066280017</v>
      </c>
      <c r="X112" s="42">
        <f>DSUM($B$80:$Y$96,X$80,$C$105:$D112)</f>
        <v>0.21886557687602323</v>
      </c>
      <c r="Y112" s="42">
        <f>DSUM($B$80:$Y$96,Y$80,$C$105:$D112)</f>
        <v>21.88655768760232</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7" t="s">
        <v>59</v>
      </c>
      <c r="C113" s="45" t="s">
        <v>60</v>
      </c>
      <c r="D113" s="45" t="s">
        <v>61</v>
      </c>
      <c r="E113" s="42">
        <f>DSUM($B$80:$Y$96,E$80,$C$105:$D113)</f>
        <v>4.8773692109116182E-2</v>
      </c>
      <c r="F113" s="42">
        <f>DSUM($B$80:$Y$96,F$80,$C$105:$D113)</f>
        <v>9.799711649235876E-2</v>
      </c>
      <c r="G113" s="42">
        <f>DSUM($B$80:$Y$96,G$80,$C$105:$D113)</f>
        <v>0.17491871184539848</v>
      </c>
      <c r="H113" s="42">
        <f>DSUM($B$80:$Y$96,H$80,$C$105:$D113)</f>
        <v>0.28616428693888241</v>
      </c>
      <c r="I113" s="42">
        <f>DSUM($B$80:$Y$96,I$80,$C$105:$D113)</f>
        <v>0.43843287355671079</v>
      </c>
      <c r="J113" s="42">
        <f>DSUM($B$80:$Y$96,J$80,$C$105:$D113)</f>
        <v>0.63206838215714967</v>
      </c>
      <c r="K113" s="42">
        <f>DSUM($B$80:$Y$96,K$80,$C$105:$D113)</f>
        <v>0.86539452358626534</v>
      </c>
      <c r="L113" s="42">
        <f>DSUM($B$80:$Y$96,L$80,$C$105:$D113)</f>
        <v>1.1295471018308303</v>
      </c>
      <c r="M113" s="42">
        <f>DSUM($B$80:$Y$96,M$80,$C$105:$D113)</f>
        <v>1.4064216811663615</v>
      </c>
      <c r="N113" s="42">
        <f>DSUM($B$80:$Y$96,N$80,$C$105:$D113)</f>
        <v>1.6764105006470948</v>
      </c>
      <c r="O113" s="42">
        <f>DSUM($B$80:$Y$96,O$80,$C$105:$D113)</f>
        <v>1.8935775022767953</v>
      </c>
      <c r="P113" s="42">
        <f>DSUM($B$80:$Y$96,P$80,$C$105:$D113)</f>
        <v>2.027865279515483</v>
      </c>
      <c r="Q113" s="42">
        <f>DSUM($B$80:$Y$96,Q$80,$C$105:$D113)</f>
        <v>2.0501346113405408</v>
      </c>
      <c r="R113" s="42">
        <f>DSUM($B$80:$Y$96,R$80,$C$105:$D113)</f>
        <v>1.9456228940815103</v>
      </c>
      <c r="S113" s="42">
        <f>DSUM($B$80:$Y$96,S$80,$C$105:$D113)</f>
        <v>1.7284428149025095</v>
      </c>
      <c r="T113" s="42">
        <f>DSUM($B$80:$Y$96,T$80,$C$105:$D113)</f>
        <v>1.4171136428900251</v>
      </c>
      <c r="U113" s="42">
        <f>DSUM($B$80:$Y$96,U$80,$C$105:$D113)</f>
        <v>1.0670854722666991</v>
      </c>
      <c r="V113" s="42">
        <f>DSUM($B$80:$Y$96,V$80,$C$105:$D113)</f>
        <v>0.73110258213426849</v>
      </c>
      <c r="W113" s="42">
        <f>DSUM($B$80:$Y$96,W$80,$C$105:$D113)</f>
        <v>0.45115585066280017</v>
      </c>
      <c r="X113" s="42">
        <f>DSUM($B$80:$Y$96,X$80,$C$105:$D113)</f>
        <v>0.21886557687602323</v>
      </c>
      <c r="Y113" s="42">
        <f>DSUM($B$80:$Y$96,Y$80,$C$105:$D113)</f>
        <v>21.88655768760232</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7" t="s">
        <v>62</v>
      </c>
      <c r="C114" s="45" t="s">
        <v>63</v>
      </c>
      <c r="D114" s="45" t="s">
        <v>64</v>
      </c>
      <c r="E114" s="42">
        <f>DSUM($B$80:$Y$96,E$80,$C$105:$D114)</f>
        <v>5.0094893565353404E-2</v>
      </c>
      <c r="F114" s="42">
        <f>DSUM($B$80:$Y$96,F$80,$C$105:$D114)</f>
        <v>0.10063844177593932</v>
      </c>
      <c r="G114" s="42">
        <f>DSUM($B$80:$Y$96,G$80,$C$105:$D114)</f>
        <v>0.17960931938983329</v>
      </c>
      <c r="H114" s="42">
        <f>DSUM($B$80:$Y$96,H$80,$C$105:$D114)</f>
        <v>0.2937988733525061</v>
      </c>
      <c r="I114" s="42">
        <f>DSUM($B$80:$Y$96,I$80,$C$105:$D114)</f>
        <v>0.45003132181358774</v>
      </c>
      <c r="J114" s="42">
        <f>DSUM($B$80:$Y$96,J$80,$C$105:$D114)</f>
        <v>0.64869844649737807</v>
      </c>
      <c r="K114" s="42">
        <f>DSUM($B$80:$Y$96,K$80,$C$105:$D114)</f>
        <v>0.8880447477320349</v>
      </c>
      <c r="L114" s="42">
        <f>DSUM($B$80:$Y$96,L$80,$C$105:$D114)</f>
        <v>1.1589522691735812</v>
      </c>
      <c r="M114" s="42">
        <f>DSUM($B$80:$Y$96,M$80,$C$105:$D114)</f>
        <v>1.4428485390359285</v>
      </c>
      <c r="N114" s="42">
        <f>DSUM($B$80:$Y$96,N$80,$C$105:$D114)</f>
        <v>1.7194403234246496</v>
      </c>
      <c r="O114" s="42">
        <f>DSUM($B$80:$Y$96,O$80,$C$105:$D114)</f>
        <v>1.9419424604565814</v>
      </c>
      <c r="P114" s="42">
        <f>DSUM($B$80:$Y$96,P$80,$C$105:$D114)</f>
        <v>2.0794161887413725</v>
      </c>
      <c r="Q114" s="42">
        <f>DSUM($B$80:$Y$96,Q$80,$C$105:$D114)</f>
        <v>2.102005907481773</v>
      </c>
      <c r="R114" s="42">
        <f>DSUM($B$80:$Y$96,R$80,$C$105:$D114)</f>
        <v>1.9946243962599797</v>
      </c>
      <c r="S114" s="42">
        <f>DSUM($B$80:$Y$96,S$80,$C$105:$D114)</f>
        <v>1.7716214233542302</v>
      </c>
      <c r="T114" s="42">
        <f>DSUM($B$80:$Y$96,T$80,$C$105:$D114)</f>
        <v>1.4523412265076028</v>
      </c>
      <c r="U114" s="42">
        <f>DSUM($B$80:$Y$96,U$80,$C$105:$D114)</f>
        <v>1.0934781513572946</v>
      </c>
      <c r="V114" s="42">
        <f>DSUM($B$80:$Y$96,V$80,$C$105:$D114)</f>
        <v>0.74909545405631295</v>
      </c>
      <c r="W114" s="42">
        <f>DSUM($B$80:$Y$96,W$80,$C$105:$D114)</f>
        <v>0.46220695946569812</v>
      </c>
      <c r="X114" s="42">
        <f>DSUM($B$80:$Y$96,X$80,$C$105:$D114)</f>
        <v>0.2241803064755743</v>
      </c>
      <c r="Y114" s="42">
        <f>DSUM($B$80:$Y$96,Y$80,$C$105:$D114)</f>
        <v>22.418030647557426</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7" t="s">
        <v>65</v>
      </c>
      <c r="C115" s="45" t="s">
        <v>66</v>
      </c>
      <c r="D115" s="45" t="s">
        <v>67</v>
      </c>
      <c r="E115" s="42">
        <f>DSUM($B$80:$Y$96,E$80,$C$105:$D115)</f>
        <v>5.0094893565353404E-2</v>
      </c>
      <c r="F115" s="42">
        <f>DSUM($B$80:$Y$96,F$80,$C$105:$D115)</f>
        <v>0.10063844177593932</v>
      </c>
      <c r="G115" s="42">
        <f>DSUM($B$80:$Y$96,G$80,$C$105:$D115)</f>
        <v>0.17960931938983329</v>
      </c>
      <c r="H115" s="42">
        <f>DSUM($B$80:$Y$96,H$80,$C$105:$D115)</f>
        <v>0.2937988733525061</v>
      </c>
      <c r="I115" s="42">
        <f>DSUM($B$80:$Y$96,I$80,$C$105:$D115)</f>
        <v>0.45003132181358774</v>
      </c>
      <c r="J115" s="42">
        <f>DSUM($B$80:$Y$96,J$80,$C$105:$D115)</f>
        <v>0.64869844649737807</v>
      </c>
      <c r="K115" s="42">
        <f>DSUM($B$80:$Y$96,K$80,$C$105:$D115)</f>
        <v>0.8880447477320349</v>
      </c>
      <c r="L115" s="42">
        <f>DSUM($B$80:$Y$96,L$80,$C$105:$D115)</f>
        <v>1.1589522691735812</v>
      </c>
      <c r="M115" s="42">
        <f>DSUM($B$80:$Y$96,M$80,$C$105:$D115)</f>
        <v>1.4428485390359285</v>
      </c>
      <c r="N115" s="42">
        <f>DSUM($B$80:$Y$96,N$80,$C$105:$D115)</f>
        <v>1.7194403234246496</v>
      </c>
      <c r="O115" s="42">
        <f>DSUM($B$80:$Y$96,O$80,$C$105:$D115)</f>
        <v>1.9419424604565814</v>
      </c>
      <c r="P115" s="42">
        <f>DSUM($B$80:$Y$96,P$80,$C$105:$D115)</f>
        <v>2.0794161887413725</v>
      </c>
      <c r="Q115" s="42">
        <f>DSUM($B$80:$Y$96,Q$80,$C$105:$D115)</f>
        <v>2.102005907481773</v>
      </c>
      <c r="R115" s="42">
        <f>DSUM($B$80:$Y$96,R$80,$C$105:$D115)</f>
        <v>1.9946243962599797</v>
      </c>
      <c r="S115" s="42">
        <f>DSUM($B$80:$Y$96,S$80,$C$105:$D115)</f>
        <v>1.7716214233542302</v>
      </c>
      <c r="T115" s="42">
        <f>DSUM($B$80:$Y$96,T$80,$C$105:$D115)</f>
        <v>1.4523412265076028</v>
      </c>
      <c r="U115" s="42">
        <f>DSUM($B$80:$Y$96,U$80,$C$105:$D115)</f>
        <v>1.0934781513572946</v>
      </c>
      <c r="V115" s="42">
        <f>DSUM($B$80:$Y$96,V$80,$C$105:$D115)</f>
        <v>0.74909545405631295</v>
      </c>
      <c r="W115" s="42">
        <f>DSUM($B$80:$Y$96,W$80,$C$105:$D115)</f>
        <v>0.46220695946569812</v>
      </c>
      <c r="X115" s="42">
        <f>DSUM($B$80:$Y$96,X$80,$C$105:$D115)</f>
        <v>0.2241803064755743</v>
      </c>
      <c r="Y115" s="42">
        <f>DSUM($B$80:$Y$96,Y$80,$C$105:$D115)</f>
        <v>22.418030647557426</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7" t="s">
        <v>68</v>
      </c>
      <c r="C116" s="45" t="s">
        <v>69</v>
      </c>
      <c r="D116" s="45" t="s">
        <v>70</v>
      </c>
      <c r="E116" s="42">
        <f>DSUM($B$80:$Y$96,E$80,$C$105:$D116)</f>
        <v>5.0094893565353404E-2</v>
      </c>
      <c r="F116" s="42">
        <f>DSUM($B$80:$Y$96,F$80,$C$105:$D116)</f>
        <v>0.10063844177593932</v>
      </c>
      <c r="G116" s="42">
        <f>DSUM($B$80:$Y$96,G$80,$C$105:$D116)</f>
        <v>0.17960931938983329</v>
      </c>
      <c r="H116" s="42">
        <f>DSUM($B$80:$Y$96,H$80,$C$105:$D116)</f>
        <v>0.2937988733525061</v>
      </c>
      <c r="I116" s="42">
        <f>DSUM($B$80:$Y$96,I$80,$C$105:$D116)</f>
        <v>0.45003132181358774</v>
      </c>
      <c r="J116" s="42">
        <f>DSUM($B$80:$Y$96,J$80,$C$105:$D116)</f>
        <v>0.64869844649737807</v>
      </c>
      <c r="K116" s="42">
        <f>DSUM($B$80:$Y$96,K$80,$C$105:$D116)</f>
        <v>0.8880447477320349</v>
      </c>
      <c r="L116" s="42">
        <f>DSUM($B$80:$Y$96,L$80,$C$105:$D116)</f>
        <v>1.1589522691735812</v>
      </c>
      <c r="M116" s="42">
        <f>DSUM($B$80:$Y$96,M$80,$C$105:$D116)</f>
        <v>1.4428485390359285</v>
      </c>
      <c r="N116" s="42">
        <f>DSUM($B$80:$Y$96,N$80,$C$105:$D116)</f>
        <v>1.7194403234246496</v>
      </c>
      <c r="O116" s="42">
        <f>DSUM($B$80:$Y$96,O$80,$C$105:$D116)</f>
        <v>1.9419424604565814</v>
      </c>
      <c r="P116" s="42">
        <f>DSUM($B$80:$Y$96,P$80,$C$105:$D116)</f>
        <v>2.0794161887413725</v>
      </c>
      <c r="Q116" s="42">
        <f>DSUM($B$80:$Y$96,Q$80,$C$105:$D116)</f>
        <v>2.102005907481773</v>
      </c>
      <c r="R116" s="42">
        <f>DSUM($B$80:$Y$96,R$80,$C$105:$D116)</f>
        <v>1.9946243962599797</v>
      </c>
      <c r="S116" s="42">
        <f>DSUM($B$80:$Y$96,S$80,$C$105:$D116)</f>
        <v>1.7716214233542302</v>
      </c>
      <c r="T116" s="42">
        <f>DSUM($B$80:$Y$96,T$80,$C$105:$D116)</f>
        <v>1.4523412265076028</v>
      </c>
      <c r="U116" s="42">
        <f>DSUM($B$80:$Y$96,U$80,$C$105:$D116)</f>
        <v>1.0934781513572946</v>
      </c>
      <c r="V116" s="42">
        <f>DSUM($B$80:$Y$96,V$80,$C$105:$D116)</f>
        <v>0.74909545405631295</v>
      </c>
      <c r="W116" s="42">
        <f>DSUM($B$80:$Y$96,W$80,$C$105:$D116)</f>
        <v>0.46220695946569812</v>
      </c>
      <c r="X116" s="42">
        <f>DSUM($B$80:$Y$96,X$80,$C$105:$D116)</f>
        <v>0.2241803064755743</v>
      </c>
      <c r="Y116" s="42">
        <f>DSUM($B$80:$Y$96,Y$80,$C$105:$D116)</f>
        <v>22.418030647557426</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7" t="s">
        <v>71</v>
      </c>
      <c r="C117" s="45" t="s">
        <v>72</v>
      </c>
      <c r="D117" s="45" t="s">
        <v>73</v>
      </c>
      <c r="E117" s="42">
        <f>DSUM($B$80:$Y$96,E$80,$C$105:$D117)</f>
        <v>5.0094893565353404E-2</v>
      </c>
      <c r="F117" s="42">
        <f>DSUM($B$80:$Y$96,F$80,$C$105:$D117)</f>
        <v>0.10063844177593932</v>
      </c>
      <c r="G117" s="42">
        <f>DSUM($B$80:$Y$96,G$80,$C$105:$D117)</f>
        <v>0.17960931938983329</v>
      </c>
      <c r="H117" s="42">
        <f>DSUM($B$80:$Y$96,H$80,$C$105:$D117)</f>
        <v>0.2937988733525061</v>
      </c>
      <c r="I117" s="42">
        <f>DSUM($B$80:$Y$96,I$80,$C$105:$D117)</f>
        <v>0.45003132181358774</v>
      </c>
      <c r="J117" s="42">
        <f>DSUM($B$80:$Y$96,J$80,$C$105:$D117)</f>
        <v>0.64869844649737807</v>
      </c>
      <c r="K117" s="42">
        <f>DSUM($B$80:$Y$96,K$80,$C$105:$D117)</f>
        <v>0.8880447477320349</v>
      </c>
      <c r="L117" s="42">
        <f>DSUM($B$80:$Y$96,L$80,$C$105:$D117)</f>
        <v>1.1589522691735812</v>
      </c>
      <c r="M117" s="42">
        <f>DSUM($B$80:$Y$96,M$80,$C$105:$D117)</f>
        <v>1.4428485390359285</v>
      </c>
      <c r="N117" s="42">
        <f>DSUM($B$80:$Y$96,N$80,$C$105:$D117)</f>
        <v>1.7194403234246496</v>
      </c>
      <c r="O117" s="42">
        <f>DSUM($B$80:$Y$96,O$80,$C$105:$D117)</f>
        <v>1.9419424604565814</v>
      </c>
      <c r="P117" s="42">
        <f>DSUM($B$80:$Y$96,P$80,$C$105:$D117)</f>
        <v>2.0794161887413725</v>
      </c>
      <c r="Q117" s="42">
        <f>DSUM($B$80:$Y$96,Q$80,$C$105:$D117)</f>
        <v>2.102005907481773</v>
      </c>
      <c r="R117" s="42">
        <f>DSUM($B$80:$Y$96,R$80,$C$105:$D117)</f>
        <v>1.9946243962599797</v>
      </c>
      <c r="S117" s="42">
        <f>DSUM($B$80:$Y$96,S$80,$C$105:$D117)</f>
        <v>1.7716214233542302</v>
      </c>
      <c r="T117" s="42">
        <f>DSUM($B$80:$Y$96,T$80,$C$105:$D117)</f>
        <v>1.4523412265076028</v>
      </c>
      <c r="U117" s="42">
        <f>DSUM($B$80:$Y$96,U$80,$C$105:$D117)</f>
        <v>1.0934781513572946</v>
      </c>
      <c r="V117" s="42">
        <f>DSUM($B$80:$Y$96,V$80,$C$105:$D117)</f>
        <v>0.74909545405631295</v>
      </c>
      <c r="W117" s="42">
        <f>DSUM($B$80:$Y$96,W$80,$C$105:$D117)</f>
        <v>0.46220695946569812</v>
      </c>
      <c r="X117" s="42">
        <f>DSUM($B$80:$Y$96,X$80,$C$105:$D117)</f>
        <v>0.2241803064755743</v>
      </c>
      <c r="Y117" s="42">
        <f>DSUM($B$80:$Y$96,Y$80,$C$105:$D117)</f>
        <v>22.418030647557426</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7" t="s">
        <v>74</v>
      </c>
      <c r="C118" s="45" t="s">
        <v>75</v>
      </c>
      <c r="D118" s="45" t="s">
        <v>76</v>
      </c>
      <c r="E118" s="42">
        <f>DSUM($B$80:$Y$96,E$80,$C$105:$D118)</f>
        <v>5.3995256179077744E-2</v>
      </c>
      <c r="F118" s="42">
        <f>DSUM($B$80:$Y$96,F$80,$C$105:$D118)</f>
        <v>0.10843598569940947</v>
      </c>
      <c r="G118" s="42">
        <f>DSUM($B$80:$Y$96,G$80,$C$105:$D118)</f>
        <v>0.19345661740452905</v>
      </c>
      <c r="H118" s="42">
        <f>DSUM($B$80:$Y$96,H$80,$C$105:$D118)</f>
        <v>0.31633718897301133</v>
      </c>
      <c r="I118" s="42">
        <f>DSUM($B$80:$Y$96,I$80,$C$105:$D118)</f>
        <v>0.48427148537439479</v>
      </c>
      <c r="J118" s="42">
        <f>DSUM($B$80:$Y$96,J$80,$C$105:$D118)</f>
        <v>0.69779261068425957</v>
      </c>
      <c r="K118" s="42">
        <f>DSUM($B$80:$Y$96,K$80,$C$105:$D118)</f>
        <v>0.95491122523520044</v>
      </c>
      <c r="L118" s="42">
        <f>DSUM($B$80:$Y$96,L$80,$C$105:$D118)</f>
        <v>1.2457602383992681</v>
      </c>
      <c r="M118" s="42">
        <f>DSUM($B$80:$Y$96,M$80,$C$105:$D118)</f>
        <v>1.5503854736185976</v>
      </c>
      <c r="N118" s="42">
        <f>DSUM($B$80:$Y$96,N$80,$C$105:$D118)</f>
        <v>1.8464700895851742</v>
      </c>
      <c r="O118" s="42">
        <f>DSUM($B$80:$Y$96,O$80,$C$105:$D118)</f>
        <v>2.0847222566854078</v>
      </c>
      <c r="P118" s="42">
        <f>DSUM($B$80:$Y$96,P$80,$C$105:$D118)</f>
        <v>2.2316013366602934</v>
      </c>
      <c r="Q118" s="42">
        <f>DSUM($B$80:$Y$96,Q$80,$C$105:$D118)</f>
        <v>2.2551368802335618</v>
      </c>
      <c r="R118" s="42">
        <f>DSUM($B$80:$Y$96,R$80,$C$105:$D118)</f>
        <v>2.1392833551272763</v>
      </c>
      <c r="S118" s="42">
        <f>DSUM($B$80:$Y$96,S$80,$C$105:$D118)</f>
        <v>1.8990904246353597</v>
      </c>
      <c r="T118" s="42">
        <f>DSUM($B$80:$Y$96,T$80,$C$105:$D118)</f>
        <v>1.5563377438178125</v>
      </c>
      <c r="U118" s="42">
        <f>DSUM($B$80:$Y$96,U$80,$C$105:$D118)</f>
        <v>1.17139285415679</v>
      </c>
      <c r="V118" s="42">
        <f>DSUM($B$80:$Y$96,V$80,$C$105:$D118)</f>
        <v>0.80221280767938663</v>
      </c>
      <c r="W118" s="42">
        <f>DSUM($B$80:$Y$96,W$80,$C$105:$D118)</f>
        <v>0.49483130408137954</v>
      </c>
      <c r="X118" s="42">
        <f>DSUM($B$80:$Y$96,X$80,$C$105:$D118)</f>
        <v>0.23987009589737851</v>
      </c>
      <c r="Y118" s="42">
        <f>DSUM($B$80:$Y$96,Y$80,$C$105:$D118)</f>
        <v>23.987009589737852</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7" t="s">
        <v>77</v>
      </c>
      <c r="C119" s="45" t="s">
        <v>78</v>
      </c>
      <c r="D119" s="45" t="s">
        <v>79</v>
      </c>
      <c r="E119" s="42">
        <f>DSUM($B$80:$Y$96,E$80,$C$105:$D119)</f>
        <v>5.4057287978621971E-2</v>
      </c>
      <c r="F119" s="42">
        <f>DSUM($B$80:$Y$96,F$80,$C$105:$D119)</f>
        <v>0.10856132835282355</v>
      </c>
      <c r="G119" s="42">
        <f>DSUM($B$80:$Y$96,G$80,$C$105:$D119)</f>
        <v>0.19368152637838884</v>
      </c>
      <c r="H119" s="42">
        <f>DSUM($B$80:$Y$96,H$80,$C$105:$D119)</f>
        <v>0.31670696792782649</v>
      </c>
      <c r="I119" s="42">
        <f>DSUM($B$80:$Y$96,I$80,$C$105:$D119)</f>
        <v>0.48483879663246965</v>
      </c>
      <c r="J119" s="42">
        <f>DSUM($B$80:$Y$96,J$80,$C$105:$D119)</f>
        <v>0.69861134281228776</v>
      </c>
      <c r="K119" s="42">
        <f>DSUM($B$80:$Y$96,K$80,$C$105:$D119)</f>
        <v>0.95603344915155786</v>
      </c>
      <c r="L119" s="42">
        <f>DSUM($B$80:$Y$96,L$80,$C$105:$D119)</f>
        <v>1.2472265731797871</v>
      </c>
      <c r="M119" s="42">
        <f>DSUM($B$80:$Y$96,M$80,$C$105:$D119)</f>
        <v>1.552213850463922</v>
      </c>
      <c r="N119" s="42">
        <f>DSUM($B$80:$Y$96,N$80,$C$105:$D119)</f>
        <v>1.8486441432236946</v>
      </c>
      <c r="O119" s="42">
        <f>DSUM($B$80:$Y$96,O$80,$C$105:$D119)</f>
        <v>2.0871820664687233</v>
      </c>
      <c r="P119" s="42">
        <f>DSUM($B$80:$Y$96,P$80,$C$105:$D119)</f>
        <v>2.2342405994042784</v>
      </c>
      <c r="Q119" s="42">
        <f>DSUM($B$80:$Y$96,Q$80,$C$105:$D119)</f>
        <v>2.2578101834931554</v>
      </c>
      <c r="R119" s="42">
        <f>DSUM($B$80:$Y$96,R$80,$C$105:$D119)</f>
        <v>2.1418254901980252</v>
      </c>
      <c r="S119" s="42">
        <f>DSUM($B$80:$Y$96,S$80,$C$105:$D119)</f>
        <v>1.9013452596194595</v>
      </c>
      <c r="T119" s="42">
        <f>DSUM($B$80:$Y$96,T$80,$C$105:$D119)</f>
        <v>1.5581894407325334</v>
      </c>
      <c r="U119" s="42">
        <f>DSUM($B$80:$Y$96,U$80,$C$105:$D119)</f>
        <v>1.172789199039449</v>
      </c>
      <c r="V119" s="42">
        <f>DSUM($B$80:$Y$96,V$80,$C$105:$D119)</f>
        <v>0.80317090495163312</v>
      </c>
      <c r="W119" s="42">
        <f>DSUM($B$80:$Y$96,W$80,$C$105:$D119)</f>
        <v>0.49542353407052719</v>
      </c>
      <c r="X119" s="42">
        <f>DSUM($B$80:$Y$96,X$80,$C$105:$D119)</f>
        <v>0.24015672164752333</v>
      </c>
      <c r="Y119" s="42">
        <f>DSUM($B$80:$Y$96,Y$80,$C$105:$D119)</f>
        <v>24.015672164752331</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7" t="s">
        <v>80</v>
      </c>
      <c r="C120" s="45" t="s">
        <v>81</v>
      </c>
      <c r="D120" s="45" t="s">
        <v>82</v>
      </c>
      <c r="E120" s="42">
        <f>DSUM($B$80:$Y$96,E$80,$C$105:$D120)</f>
        <v>5.4057287978621971E-2</v>
      </c>
      <c r="F120" s="42">
        <f>DSUM($B$80:$Y$96,F$80,$C$105:$D120)</f>
        <v>0.10856132835282355</v>
      </c>
      <c r="G120" s="42">
        <f>DSUM($B$80:$Y$96,G$80,$C$105:$D120)</f>
        <v>0.19368152637838884</v>
      </c>
      <c r="H120" s="42">
        <f>DSUM($B$80:$Y$96,H$80,$C$105:$D120)</f>
        <v>0.31670696792782649</v>
      </c>
      <c r="I120" s="42">
        <f>DSUM($B$80:$Y$96,I$80,$C$105:$D120)</f>
        <v>0.48483879663246965</v>
      </c>
      <c r="J120" s="42">
        <f>DSUM($B$80:$Y$96,J$80,$C$105:$D120)</f>
        <v>0.69861134281228776</v>
      </c>
      <c r="K120" s="42">
        <f>DSUM($B$80:$Y$96,K$80,$C$105:$D120)</f>
        <v>0.95603344915155786</v>
      </c>
      <c r="L120" s="42">
        <f>DSUM($B$80:$Y$96,L$80,$C$105:$D120)</f>
        <v>1.2472265731797871</v>
      </c>
      <c r="M120" s="42">
        <f>DSUM($B$80:$Y$96,M$80,$C$105:$D120)</f>
        <v>1.552213850463922</v>
      </c>
      <c r="N120" s="42">
        <f>DSUM($B$80:$Y$96,N$80,$C$105:$D120)</f>
        <v>1.8486441432236946</v>
      </c>
      <c r="O120" s="42">
        <f>DSUM($B$80:$Y$96,O$80,$C$105:$D120)</f>
        <v>2.0871820664687233</v>
      </c>
      <c r="P120" s="42">
        <f>DSUM($B$80:$Y$96,P$80,$C$105:$D120)</f>
        <v>2.2342405994042784</v>
      </c>
      <c r="Q120" s="42">
        <f>DSUM($B$80:$Y$96,Q$80,$C$105:$D120)</f>
        <v>2.2578101834931554</v>
      </c>
      <c r="R120" s="42">
        <f>DSUM($B$80:$Y$96,R$80,$C$105:$D120)</f>
        <v>2.1418254901980252</v>
      </c>
      <c r="S120" s="42">
        <f>DSUM($B$80:$Y$96,S$80,$C$105:$D120)</f>
        <v>1.9013452596194595</v>
      </c>
      <c r="T120" s="42">
        <f>DSUM($B$80:$Y$96,T$80,$C$105:$D120)</f>
        <v>1.5581894407325334</v>
      </c>
      <c r="U120" s="42">
        <f>DSUM($B$80:$Y$96,U$80,$C$105:$D120)</f>
        <v>1.172789199039449</v>
      </c>
      <c r="V120" s="42">
        <f>DSUM($B$80:$Y$96,V$80,$C$105:$D120)</f>
        <v>0.80317090495163312</v>
      </c>
      <c r="W120" s="42">
        <f>DSUM($B$80:$Y$96,W$80,$C$105:$D120)</f>
        <v>0.49542353407052719</v>
      </c>
      <c r="X120" s="42">
        <f>DSUM($B$80:$Y$96,X$80,$C$105:$D120)</f>
        <v>0.24015672164752333</v>
      </c>
      <c r="Y120" s="42">
        <f>DSUM($B$80:$Y$96,Y$80,$C$105:$D120)</f>
        <v>24.015672164752331</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7" t="s">
        <v>83</v>
      </c>
      <c r="C121" s="45" t="s">
        <v>84</v>
      </c>
      <c r="D121" s="45" t="s">
        <v>85</v>
      </c>
      <c r="E121" s="42">
        <f>DSUM($B$80:$Y$96,E$80,$C$105:$D121)</f>
        <v>5.431623603018404E-2</v>
      </c>
      <c r="F121" s="42">
        <f>DSUM($B$80:$Y$96,F$80,$C$105:$D121)</f>
        <v>0.10908456379202847</v>
      </c>
      <c r="G121" s="42">
        <f>DSUM($B$80:$Y$96,G$80,$C$105:$D121)</f>
        <v>0.1946203954904851</v>
      </c>
      <c r="H121" s="42">
        <f>DSUM($B$80:$Y$96,H$80,$C$105:$D121)</f>
        <v>0.31825058814457957</v>
      </c>
      <c r="I121" s="42">
        <f>DSUM($B$80:$Y$96,I$80,$C$105:$D121)</f>
        <v>0.4872070036809043</v>
      </c>
      <c r="J121" s="42">
        <f>DSUM($B$80:$Y$96,J$80,$C$105:$D121)</f>
        <v>0.70202909130357638</v>
      </c>
      <c r="K121" s="42">
        <f>DSUM($B$80:$Y$96,K$80,$C$105:$D121)</f>
        <v>0.96071810603225904</v>
      </c>
      <c r="L121" s="42">
        <f>DSUM($B$80:$Y$96,L$80,$C$105:$D121)</f>
        <v>1.2533477003620221</v>
      </c>
      <c r="M121" s="42">
        <f>DSUM($B$80:$Y$96,M$80,$C$105:$D121)</f>
        <v>1.5598463006765022</v>
      </c>
      <c r="N121" s="42">
        <f>DSUM($B$80:$Y$96,N$80,$C$105:$D121)</f>
        <v>1.8577196006152692</v>
      </c>
      <c r="O121" s="42">
        <f>DSUM($B$80:$Y$96,O$80,$C$105:$D121)</f>
        <v>2.0974503958624036</v>
      </c>
      <c r="P121" s="42">
        <f>DSUM($B$80:$Y$96,P$80,$C$105:$D121)</f>
        <v>2.2452580444911017</v>
      </c>
      <c r="Q121" s="42">
        <f>DSUM($B$80:$Y$96,Q$80,$C$105:$D121)</f>
        <v>2.2689697286843726</v>
      </c>
      <c r="R121" s="42">
        <f>DSUM($B$80:$Y$96,R$80,$C$105:$D121)</f>
        <v>2.1524374815994465</v>
      </c>
      <c r="S121" s="42">
        <f>DSUM($B$80:$Y$96,S$80,$C$105:$D121)</f>
        <v>1.9107579339254872</v>
      </c>
      <c r="T121" s="42">
        <f>DSUM($B$80:$Y$96,T$80,$C$105:$D121)</f>
        <v>1.5659192391854806</v>
      </c>
      <c r="U121" s="42">
        <f>DSUM($B$80:$Y$96,U$80,$C$105:$D121)</f>
        <v>1.178618157562819</v>
      </c>
      <c r="V121" s="42">
        <f>DSUM($B$80:$Y$96,V$80,$C$105:$D121)</f>
        <v>0.80717042493457791</v>
      </c>
      <c r="W121" s="42">
        <f>DSUM($B$80:$Y$96,W$80,$C$105:$D121)</f>
        <v>0.49789576287725512</v>
      </c>
      <c r="X121" s="42">
        <f>DSUM($B$80:$Y$96,X$80,$C$105:$D121)</f>
        <v>0.24135322376535415</v>
      </c>
      <c r="Y121" s="42">
        <f>DSUM($B$80:$Y$96,Y$80,$C$105:$D121)</f>
        <v>24.135322376535413</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7" t="s">
        <v>86</v>
      </c>
      <c r="C122" s="45" t="s">
        <v>87</v>
      </c>
      <c r="D122" s="45" t="s">
        <v>88</v>
      </c>
      <c r="E122" s="42">
        <f>DSUM($B$80:$Y$96,E$80,$C$105:$D122)</f>
        <v>5.431623603018404E-2</v>
      </c>
      <c r="F122" s="42">
        <f>DSUM($B$80:$Y$96,F$80,$C$105:$D122)</f>
        <v>0.10908456379202847</v>
      </c>
      <c r="G122" s="42">
        <f>DSUM($B$80:$Y$96,G$80,$C$105:$D122)</f>
        <v>0.1946203954904851</v>
      </c>
      <c r="H122" s="42">
        <f>DSUM($B$80:$Y$96,H$80,$C$105:$D122)</f>
        <v>0.31825058814457957</v>
      </c>
      <c r="I122" s="42">
        <f>DSUM($B$80:$Y$96,I$80,$C$105:$D122)</f>
        <v>0.4872070036809043</v>
      </c>
      <c r="J122" s="42">
        <f>DSUM($B$80:$Y$96,J$80,$C$105:$D122)</f>
        <v>0.70202909130357638</v>
      </c>
      <c r="K122" s="42">
        <f>DSUM($B$80:$Y$96,K$80,$C$105:$D122)</f>
        <v>0.96071810603225904</v>
      </c>
      <c r="L122" s="42">
        <f>DSUM($B$80:$Y$96,L$80,$C$105:$D122)</f>
        <v>1.2533477003620221</v>
      </c>
      <c r="M122" s="42">
        <f>DSUM($B$80:$Y$96,M$80,$C$105:$D122)</f>
        <v>1.5598463006765022</v>
      </c>
      <c r="N122" s="42">
        <f>DSUM($B$80:$Y$96,N$80,$C$105:$D122)</f>
        <v>1.8577196006152692</v>
      </c>
      <c r="O122" s="42">
        <f>DSUM($B$80:$Y$96,O$80,$C$105:$D122)</f>
        <v>2.0974503958624036</v>
      </c>
      <c r="P122" s="42">
        <f>DSUM($B$80:$Y$96,P$80,$C$105:$D122)</f>
        <v>2.2452580444911017</v>
      </c>
      <c r="Q122" s="42">
        <f>DSUM($B$80:$Y$96,Q$80,$C$105:$D122)</f>
        <v>2.2689697286843726</v>
      </c>
      <c r="R122" s="42">
        <f>DSUM($B$80:$Y$96,R$80,$C$105:$D122)</f>
        <v>2.1524374815994465</v>
      </c>
      <c r="S122" s="42">
        <f>DSUM($B$80:$Y$96,S$80,$C$105:$D122)</f>
        <v>1.9107579339254872</v>
      </c>
      <c r="T122" s="42">
        <f>DSUM($B$80:$Y$96,T$80,$C$105:$D122)</f>
        <v>1.5659192391854806</v>
      </c>
      <c r="U122" s="42">
        <f>DSUM($B$80:$Y$96,U$80,$C$105:$D122)</f>
        <v>1.178618157562819</v>
      </c>
      <c r="V122" s="42">
        <f>DSUM($B$80:$Y$96,V$80,$C$105:$D122)</f>
        <v>0.80717042493457791</v>
      </c>
      <c r="W122" s="42">
        <f>DSUM($B$80:$Y$96,W$80,$C$105:$D122)</f>
        <v>0.49789576287725512</v>
      </c>
      <c r="X122" s="42">
        <f>DSUM($B$80:$Y$96,X$80,$C$105:$D122)</f>
        <v>0.24135322376535415</v>
      </c>
      <c r="Y122" s="42">
        <f>DSUM($B$80:$Y$96,Y$80,$C$105:$D122)</f>
        <v>24.135322376535413</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7" t="s">
        <v>89</v>
      </c>
      <c r="C123" s="45" t="s">
        <v>90</v>
      </c>
      <c r="D123" s="45" t="s">
        <v>91</v>
      </c>
      <c r="E123" s="42">
        <f>DSUM($B$80:$Y$96,E$80,$C$105:$D123)</f>
        <v>5.431623603018404E-2</v>
      </c>
      <c r="F123" s="42">
        <f>DSUM($B$80:$Y$96,F$80,$C$105:$D123)</f>
        <v>0.10908456379202847</v>
      </c>
      <c r="G123" s="42">
        <f>DSUM($B$80:$Y$96,G$80,$C$105:$D123)</f>
        <v>0.1946203954904851</v>
      </c>
      <c r="H123" s="42">
        <f>DSUM($B$80:$Y$96,H$80,$C$105:$D123)</f>
        <v>0.31825058814457957</v>
      </c>
      <c r="I123" s="42">
        <f>DSUM($B$80:$Y$96,I$80,$C$105:$D123)</f>
        <v>0.4872070036809043</v>
      </c>
      <c r="J123" s="42">
        <f>DSUM($B$80:$Y$96,J$80,$C$105:$D123)</f>
        <v>0.70202909130357638</v>
      </c>
      <c r="K123" s="42">
        <f>DSUM($B$80:$Y$96,K$80,$C$105:$D123)</f>
        <v>0.96071810603225904</v>
      </c>
      <c r="L123" s="42">
        <f>DSUM($B$80:$Y$96,L$80,$C$105:$D123)</f>
        <v>1.2533477003620221</v>
      </c>
      <c r="M123" s="42">
        <f>DSUM($B$80:$Y$96,M$80,$C$105:$D123)</f>
        <v>1.5598463006765022</v>
      </c>
      <c r="N123" s="42">
        <f>DSUM($B$80:$Y$96,N$80,$C$105:$D123)</f>
        <v>1.8577196006152692</v>
      </c>
      <c r="O123" s="42">
        <f>DSUM($B$80:$Y$96,O$80,$C$105:$D123)</f>
        <v>2.0974503958624036</v>
      </c>
      <c r="P123" s="42">
        <f>DSUM($B$80:$Y$96,P$80,$C$105:$D123)</f>
        <v>2.2452580444911017</v>
      </c>
      <c r="Q123" s="42">
        <f>DSUM($B$80:$Y$96,Q$80,$C$105:$D123)</f>
        <v>2.2689697286843726</v>
      </c>
      <c r="R123" s="42">
        <f>DSUM($B$80:$Y$96,R$80,$C$105:$D123)</f>
        <v>2.1524374815994465</v>
      </c>
      <c r="S123" s="42">
        <f>DSUM($B$80:$Y$96,S$80,$C$105:$D123)</f>
        <v>1.9107579339254872</v>
      </c>
      <c r="T123" s="42">
        <f>DSUM($B$80:$Y$96,T$80,$C$105:$D123)</f>
        <v>1.5659192391854806</v>
      </c>
      <c r="U123" s="42">
        <f>DSUM($B$80:$Y$96,U$80,$C$105:$D123)</f>
        <v>1.178618157562819</v>
      </c>
      <c r="V123" s="42">
        <f>DSUM($B$80:$Y$96,V$80,$C$105:$D123)</f>
        <v>0.80717042493457791</v>
      </c>
      <c r="W123" s="42">
        <f>DSUM($B$80:$Y$96,W$80,$C$105:$D123)</f>
        <v>0.49789576287725512</v>
      </c>
      <c r="X123" s="42">
        <f>DSUM($B$80:$Y$96,X$80,$C$105:$D123)</f>
        <v>0.24135322376535415</v>
      </c>
      <c r="Y123" s="42">
        <f>DSUM($B$80:$Y$96,Y$80,$C$105:$D123)</f>
        <v>24.135322376535413</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7" t="s">
        <v>92</v>
      </c>
      <c r="C124" s="45" t="s">
        <v>93</v>
      </c>
      <c r="D124" s="45" t="s">
        <v>94</v>
      </c>
      <c r="E124" s="42">
        <f>DSUM($B$80:$Y$96,E$80,$C$105:$D124)</f>
        <v>5.431623603018404E-2</v>
      </c>
      <c r="F124" s="42">
        <f>DSUM($B$80:$Y$96,F$80,$C$105:$D124)</f>
        <v>0.10908456379202847</v>
      </c>
      <c r="G124" s="42">
        <f>DSUM($B$80:$Y$96,G$80,$C$105:$D124)</f>
        <v>0.1946203954904851</v>
      </c>
      <c r="H124" s="42">
        <f>DSUM($B$80:$Y$96,H$80,$C$105:$D124)</f>
        <v>0.31825058814457957</v>
      </c>
      <c r="I124" s="42">
        <f>DSUM($B$80:$Y$96,I$80,$C$105:$D124)</f>
        <v>0.4872070036809043</v>
      </c>
      <c r="J124" s="42">
        <f>DSUM($B$80:$Y$96,J$80,$C$105:$D124)</f>
        <v>0.70202909130357638</v>
      </c>
      <c r="K124" s="42">
        <f>DSUM($B$80:$Y$96,K$80,$C$105:$D124)</f>
        <v>0.96071810603225904</v>
      </c>
      <c r="L124" s="42">
        <f>DSUM($B$80:$Y$96,L$80,$C$105:$D124)</f>
        <v>1.2533477003620221</v>
      </c>
      <c r="M124" s="42">
        <f>DSUM($B$80:$Y$96,M$80,$C$105:$D124)</f>
        <v>1.5598463006765022</v>
      </c>
      <c r="N124" s="42">
        <f>DSUM($B$80:$Y$96,N$80,$C$105:$D124)</f>
        <v>1.8577196006152692</v>
      </c>
      <c r="O124" s="42">
        <f>DSUM($B$80:$Y$96,O$80,$C$105:$D124)</f>
        <v>2.0974503958624036</v>
      </c>
      <c r="P124" s="42">
        <f>DSUM($B$80:$Y$96,P$80,$C$105:$D124)</f>
        <v>2.2452580444911017</v>
      </c>
      <c r="Q124" s="42">
        <f>DSUM($B$80:$Y$96,Q$80,$C$105:$D124)</f>
        <v>2.2689697286843726</v>
      </c>
      <c r="R124" s="42">
        <f>DSUM($B$80:$Y$96,R$80,$C$105:$D124)</f>
        <v>2.1524374815994465</v>
      </c>
      <c r="S124" s="42">
        <f>DSUM($B$80:$Y$96,S$80,$C$105:$D124)</f>
        <v>1.9107579339254872</v>
      </c>
      <c r="T124" s="42">
        <f>DSUM($B$80:$Y$96,T$80,$C$105:$D124)</f>
        <v>1.5659192391854806</v>
      </c>
      <c r="U124" s="42">
        <f>DSUM($B$80:$Y$96,U$80,$C$105:$D124)</f>
        <v>1.178618157562819</v>
      </c>
      <c r="V124" s="42">
        <f>DSUM($B$80:$Y$96,V$80,$C$105:$D124)</f>
        <v>0.80717042493457791</v>
      </c>
      <c r="W124" s="42">
        <f>DSUM($B$80:$Y$96,W$80,$C$105:$D124)</f>
        <v>0.49789576287725512</v>
      </c>
      <c r="X124" s="42">
        <f>DSUM($B$80:$Y$96,X$80,$C$105:$D124)</f>
        <v>0.24135322376535415</v>
      </c>
      <c r="Y124" s="42">
        <f>DSUM($B$80:$Y$96,Y$80,$C$105:$D124)</f>
        <v>24.135322376535413</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7" t="s">
        <v>95</v>
      </c>
      <c r="C125" s="45" t="s">
        <v>96</v>
      </c>
      <c r="D125" s="45" t="s">
        <v>97</v>
      </c>
      <c r="E125" s="42">
        <f>DSUM($B$80:$Y$96,E$80,$C$105:$D125)</f>
        <v>5.431623603018404E-2</v>
      </c>
      <c r="F125" s="42">
        <f>DSUM($B$80:$Y$96,F$80,$C$105:$D125)</f>
        <v>0.10908456379202847</v>
      </c>
      <c r="G125" s="42">
        <f>DSUM($B$80:$Y$96,G$80,$C$105:$D125)</f>
        <v>0.1946203954904851</v>
      </c>
      <c r="H125" s="42">
        <f>DSUM($B$80:$Y$96,H$80,$C$105:$D125)</f>
        <v>0.31825058814457957</v>
      </c>
      <c r="I125" s="42">
        <f>DSUM($B$80:$Y$96,I$80,$C$105:$D125)</f>
        <v>0.4872070036809043</v>
      </c>
      <c r="J125" s="42">
        <f>DSUM($B$80:$Y$96,J$80,$C$105:$D125)</f>
        <v>0.70202909130357638</v>
      </c>
      <c r="K125" s="42">
        <f>DSUM($B$80:$Y$96,K$80,$C$105:$D125)</f>
        <v>0.96071810603225904</v>
      </c>
      <c r="L125" s="42">
        <f>DSUM($B$80:$Y$96,L$80,$C$105:$D125)</f>
        <v>1.2533477003620221</v>
      </c>
      <c r="M125" s="42">
        <f>DSUM($B$80:$Y$96,M$80,$C$105:$D125)</f>
        <v>1.5598463006765022</v>
      </c>
      <c r="N125" s="42">
        <f>DSUM($B$80:$Y$96,N$80,$C$105:$D125)</f>
        <v>1.8577196006152692</v>
      </c>
      <c r="O125" s="42">
        <f>DSUM($B$80:$Y$96,O$80,$C$105:$D125)</f>
        <v>2.0974503958624036</v>
      </c>
      <c r="P125" s="42">
        <f>DSUM($B$80:$Y$96,P$80,$C$105:$D125)</f>
        <v>2.2452580444911017</v>
      </c>
      <c r="Q125" s="42">
        <f>DSUM($B$80:$Y$96,Q$80,$C$105:$D125)</f>
        <v>2.2689697286843726</v>
      </c>
      <c r="R125" s="42">
        <f>DSUM($B$80:$Y$96,R$80,$C$105:$D125)</f>
        <v>2.1524374815994465</v>
      </c>
      <c r="S125" s="42">
        <f>DSUM($B$80:$Y$96,S$80,$C$105:$D125)</f>
        <v>1.9107579339254872</v>
      </c>
      <c r="T125" s="42">
        <f>DSUM($B$80:$Y$96,T$80,$C$105:$D125)</f>
        <v>1.5659192391854806</v>
      </c>
      <c r="U125" s="42">
        <f>DSUM($B$80:$Y$96,U$80,$C$105:$D125)</f>
        <v>1.178618157562819</v>
      </c>
      <c r="V125" s="42">
        <f>DSUM($B$80:$Y$96,V$80,$C$105:$D125)</f>
        <v>0.80717042493457791</v>
      </c>
      <c r="W125" s="42">
        <f>DSUM($B$80:$Y$96,W$80,$C$105:$D125)</f>
        <v>0.49789576287725512</v>
      </c>
      <c r="X125" s="42">
        <f>DSUM($B$80:$Y$96,X$80,$C$105:$D125)</f>
        <v>0.24135322376535415</v>
      </c>
      <c r="Y125" s="42">
        <f>DSUM($B$80:$Y$96,Y$80,$C$105:$D125)</f>
        <v>24.135322376535413</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7" t="s">
        <v>98</v>
      </c>
      <c r="C126" s="45" t="s">
        <v>99</v>
      </c>
      <c r="D126" s="45" t="s">
        <v>100</v>
      </c>
      <c r="E126" s="42">
        <f>DSUM($B$80:$Y$96,E$80,$C$105:$D126)</f>
        <v>5.431623603018404E-2</v>
      </c>
      <c r="F126" s="42">
        <f>DSUM($B$80:$Y$96,F$80,$C$105:$D126)</f>
        <v>0.10908456379202847</v>
      </c>
      <c r="G126" s="42">
        <f>DSUM($B$80:$Y$96,G$80,$C$105:$D126)</f>
        <v>0.1946203954904851</v>
      </c>
      <c r="H126" s="42">
        <f>DSUM($B$80:$Y$96,H$80,$C$105:$D126)</f>
        <v>0.31825058814457957</v>
      </c>
      <c r="I126" s="42">
        <f>DSUM($B$80:$Y$96,I$80,$C$105:$D126)</f>
        <v>0.4872070036809043</v>
      </c>
      <c r="J126" s="42">
        <f>DSUM($B$80:$Y$96,J$80,$C$105:$D126)</f>
        <v>0.70202909130357638</v>
      </c>
      <c r="K126" s="42">
        <f>DSUM($B$80:$Y$96,K$80,$C$105:$D126)</f>
        <v>0.96071810603225904</v>
      </c>
      <c r="L126" s="42">
        <f>DSUM($B$80:$Y$96,L$80,$C$105:$D126)</f>
        <v>1.2533477003620221</v>
      </c>
      <c r="M126" s="42">
        <f>DSUM($B$80:$Y$96,M$80,$C$105:$D126)</f>
        <v>1.5598463006765022</v>
      </c>
      <c r="N126" s="42">
        <f>DSUM($B$80:$Y$96,N$80,$C$105:$D126)</f>
        <v>1.8577196006152692</v>
      </c>
      <c r="O126" s="42">
        <f>DSUM($B$80:$Y$96,O$80,$C$105:$D126)</f>
        <v>2.0974503958624036</v>
      </c>
      <c r="P126" s="42">
        <f>DSUM($B$80:$Y$96,P$80,$C$105:$D126)</f>
        <v>2.2452580444911017</v>
      </c>
      <c r="Q126" s="42">
        <f>DSUM($B$80:$Y$96,Q$80,$C$105:$D126)</f>
        <v>2.2689697286843726</v>
      </c>
      <c r="R126" s="42">
        <f>DSUM($B$80:$Y$96,R$80,$C$105:$D126)</f>
        <v>2.1524374815994465</v>
      </c>
      <c r="S126" s="42">
        <f>DSUM($B$80:$Y$96,S$80,$C$105:$D126)</f>
        <v>1.9107579339254872</v>
      </c>
      <c r="T126" s="42">
        <f>DSUM($B$80:$Y$96,T$80,$C$105:$D126)</f>
        <v>1.5659192391854806</v>
      </c>
      <c r="U126" s="42">
        <f>DSUM($B$80:$Y$96,U$80,$C$105:$D126)</f>
        <v>1.178618157562819</v>
      </c>
      <c r="V126" s="42">
        <f>DSUM($B$80:$Y$96,V$80,$C$105:$D126)</f>
        <v>0.80717042493457791</v>
      </c>
      <c r="W126" s="42">
        <f>DSUM($B$80:$Y$96,W$80,$C$105:$D126)</f>
        <v>0.49789576287725512</v>
      </c>
      <c r="X126" s="42">
        <f>DSUM($B$80:$Y$96,X$80,$C$105:$D126)</f>
        <v>0.24135322376535415</v>
      </c>
      <c r="Y126" s="42">
        <f>DSUM($B$80:$Y$96,Y$80,$C$105:$D126)</f>
        <v>24.135322376535413</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7" t="s">
        <v>501</v>
      </c>
      <c r="C127" s="45" t="s">
        <v>102</v>
      </c>
      <c r="D127" s="45" t="s">
        <v>502</v>
      </c>
      <c r="E127" s="42">
        <f>DSUM($B$80:$Y$96,E$80,$C$105:$D127)</f>
        <v>5.7663709567262474E-2</v>
      </c>
      <c r="F127" s="42">
        <f>DSUM($B$80:$Y$96,F$80,$C$105:$D127)</f>
        <v>0.1158435993163569</v>
      </c>
      <c r="G127" s="42">
        <f>DSUM($B$80:$Y$96,G$80,$C$105:$D127)</f>
        <v>0.20674208954674581</v>
      </c>
      <c r="H127" s="42">
        <f>DSUM($B$80:$Y$96,H$80,$C$105:$D127)</f>
        <v>0.33818856587896839</v>
      </c>
      <c r="I127" s="42">
        <f>DSUM($B$80:$Y$96,I$80,$C$105:$D127)</f>
        <v>0.51806937168895828</v>
      </c>
      <c r="J127" s="42">
        <f>DSUM($B$80:$Y$96,J$80,$C$105:$D127)</f>
        <v>0.74676449928009458</v>
      </c>
      <c r="K127" s="42">
        <f>DSUM($B$80:$Y$96,K$80,$C$105:$D127)</f>
        <v>1.022305334386002</v>
      </c>
      <c r="L127" s="42">
        <f>DSUM($B$80:$Y$96,L$80,$C$105:$D127)</f>
        <v>1.334210772006162</v>
      </c>
      <c r="M127" s="42">
        <f>DSUM($B$80:$Y$96,M$80,$C$105:$D127)</f>
        <v>1.6610666134035827</v>
      </c>
      <c r="N127" s="42">
        <f>DSUM($B$80:$Y$96,N$80,$C$105:$D127)</f>
        <v>1.9796319633841555</v>
      </c>
      <c r="O127" s="42">
        <f>DSUM($B$80:$Y$96,O$80,$C$105:$D127)</f>
        <v>2.235850913540411</v>
      </c>
      <c r="P127" s="42">
        <f>DSUM($B$80:$Y$96,P$80,$C$105:$D127)</f>
        <v>2.3942292144501347</v>
      </c>
      <c r="Q127" s="42">
        <f>DSUM($B$80:$Y$96,Q$80,$C$105:$D127)</f>
        <v>2.4202174026329621</v>
      </c>
      <c r="R127" s="42">
        <f>DSUM($B$80:$Y$96,R$80,$C$105:$D127)</f>
        <v>2.2966805263924313</v>
      </c>
      <c r="S127" s="42">
        <f>DSUM($B$80:$Y$96,S$80,$C$105:$D127)</f>
        <v>2.0400684832300686</v>
      </c>
      <c r="T127" s="42">
        <f>DSUM($B$80:$Y$96,T$80,$C$105:$D127)</f>
        <v>1.6724493716021285</v>
      </c>
      <c r="U127" s="42">
        <f>DSUM($B$80:$Y$96,U$80,$C$105:$D127)</f>
        <v>1.2592487591746968</v>
      </c>
      <c r="V127" s="42">
        <f>DSUM($B$80:$Y$96,V$80,$C$105:$D127)</f>
        <v>0.86269217007936716</v>
      </c>
      <c r="W127" s="42">
        <f>DSUM($B$80:$Y$96,W$80,$C$105:$D127)</f>
        <v>0.53231215520601216</v>
      </c>
      <c r="X127" s="42">
        <f>DSUM($B$80:$Y$96,X$80,$C$105:$D127)</f>
        <v>0.25820882210231544</v>
      </c>
      <c r="Y127" s="42">
        <f>DSUM($B$80:$Y$96,Y$80,$C$105:$D127)</f>
        <v>25.820882210231542</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7" t="s">
        <v>503</v>
      </c>
      <c r="C128" s="45" t="s">
        <v>504</v>
      </c>
      <c r="D128" s="45" t="s">
        <v>505</v>
      </c>
      <c r="E128" s="42">
        <f>DSUM($B$80:$Y$96,E$80,$C$105:$D128)</f>
        <v>5.7663709567262474E-2</v>
      </c>
      <c r="F128" s="42">
        <f>DSUM($B$80:$Y$96,F$80,$C$105:$D128)</f>
        <v>0.1158435993163569</v>
      </c>
      <c r="G128" s="42">
        <f>DSUM($B$80:$Y$96,G$80,$C$105:$D128)</f>
        <v>0.20674208954674581</v>
      </c>
      <c r="H128" s="42">
        <f>DSUM($B$80:$Y$96,H$80,$C$105:$D128)</f>
        <v>0.33818856587896839</v>
      </c>
      <c r="I128" s="42">
        <f>DSUM($B$80:$Y$96,I$80,$C$105:$D128)</f>
        <v>0.51806937168895828</v>
      </c>
      <c r="J128" s="42">
        <f>DSUM($B$80:$Y$96,J$80,$C$105:$D128)</f>
        <v>0.74676449928009458</v>
      </c>
      <c r="K128" s="42">
        <f>DSUM($B$80:$Y$96,K$80,$C$105:$D128)</f>
        <v>1.022305334386002</v>
      </c>
      <c r="L128" s="42">
        <f>DSUM($B$80:$Y$96,L$80,$C$105:$D128)</f>
        <v>1.334210772006162</v>
      </c>
      <c r="M128" s="42">
        <f>DSUM($B$80:$Y$96,M$80,$C$105:$D128)</f>
        <v>1.6610666134035827</v>
      </c>
      <c r="N128" s="42">
        <f>DSUM($B$80:$Y$96,N$80,$C$105:$D128)</f>
        <v>1.9796319633841555</v>
      </c>
      <c r="O128" s="42">
        <f>DSUM($B$80:$Y$96,O$80,$C$105:$D128)</f>
        <v>2.235850913540411</v>
      </c>
      <c r="P128" s="42">
        <f>DSUM($B$80:$Y$96,P$80,$C$105:$D128)</f>
        <v>2.3942292144501347</v>
      </c>
      <c r="Q128" s="42">
        <f>DSUM($B$80:$Y$96,Q$80,$C$105:$D128)</f>
        <v>2.4202174026329621</v>
      </c>
      <c r="R128" s="42">
        <f>DSUM($B$80:$Y$96,R$80,$C$105:$D128)</f>
        <v>2.2966805263924313</v>
      </c>
      <c r="S128" s="42">
        <f>DSUM($B$80:$Y$96,S$80,$C$105:$D128)</f>
        <v>2.0400684832300686</v>
      </c>
      <c r="T128" s="42">
        <f>DSUM($B$80:$Y$96,T$80,$C$105:$D128)</f>
        <v>1.6724493716021285</v>
      </c>
      <c r="U128" s="42">
        <f>DSUM($B$80:$Y$96,U$80,$C$105:$D128)</f>
        <v>1.2592487591746968</v>
      </c>
      <c r="V128" s="42">
        <f>DSUM($B$80:$Y$96,V$80,$C$105:$D128)</f>
        <v>0.86269217007936716</v>
      </c>
      <c r="W128" s="42">
        <f>DSUM($B$80:$Y$96,W$80,$C$105:$D128)</f>
        <v>0.53231215520601216</v>
      </c>
      <c r="X128" s="42">
        <f>DSUM($B$80:$Y$96,X$80,$C$105:$D128)</f>
        <v>0.25820882210231544</v>
      </c>
      <c r="Y128" s="42">
        <f>DSUM($B$80:$Y$96,Y$80,$C$105:$D128)</f>
        <v>25.820882210231542</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7" t="s">
        <v>506</v>
      </c>
      <c r="C129" s="45" t="s">
        <v>507</v>
      </c>
      <c r="D129" s="45" t="s">
        <v>508</v>
      </c>
      <c r="E129" s="42">
        <f>DSUM($B$80:$Y$96,E$80,$C$105:$D129)</f>
        <v>5.7663709567262474E-2</v>
      </c>
      <c r="F129" s="42">
        <f>DSUM($B$80:$Y$96,F$80,$C$105:$D129)</f>
        <v>0.1158435993163569</v>
      </c>
      <c r="G129" s="42">
        <f>DSUM($B$80:$Y$96,G$80,$C$105:$D129)</f>
        <v>0.20674208954674581</v>
      </c>
      <c r="H129" s="42">
        <f>DSUM($B$80:$Y$96,H$80,$C$105:$D129)</f>
        <v>0.33818856587896839</v>
      </c>
      <c r="I129" s="42">
        <f>DSUM($B$80:$Y$96,I$80,$C$105:$D129)</f>
        <v>0.51806937168895828</v>
      </c>
      <c r="J129" s="42">
        <f>DSUM($B$80:$Y$96,J$80,$C$105:$D129)</f>
        <v>0.74676449928009458</v>
      </c>
      <c r="K129" s="42">
        <f>DSUM($B$80:$Y$96,K$80,$C$105:$D129)</f>
        <v>1.022305334386002</v>
      </c>
      <c r="L129" s="42">
        <f>DSUM($B$80:$Y$96,L$80,$C$105:$D129)</f>
        <v>1.334210772006162</v>
      </c>
      <c r="M129" s="42">
        <f>DSUM($B$80:$Y$96,M$80,$C$105:$D129)</f>
        <v>1.6610666134035827</v>
      </c>
      <c r="N129" s="42">
        <f>DSUM($B$80:$Y$96,N$80,$C$105:$D129)</f>
        <v>1.9796319633841555</v>
      </c>
      <c r="O129" s="42">
        <f>DSUM($B$80:$Y$96,O$80,$C$105:$D129)</f>
        <v>2.235850913540411</v>
      </c>
      <c r="P129" s="42">
        <f>DSUM($B$80:$Y$96,P$80,$C$105:$D129)</f>
        <v>2.3942292144501347</v>
      </c>
      <c r="Q129" s="42">
        <f>DSUM($B$80:$Y$96,Q$80,$C$105:$D129)</f>
        <v>2.4202174026329621</v>
      </c>
      <c r="R129" s="42">
        <f>DSUM($B$80:$Y$96,R$80,$C$105:$D129)</f>
        <v>2.2966805263924313</v>
      </c>
      <c r="S129" s="42">
        <f>DSUM($B$80:$Y$96,S$80,$C$105:$D129)</f>
        <v>2.0400684832300686</v>
      </c>
      <c r="T129" s="42">
        <f>DSUM($B$80:$Y$96,T$80,$C$105:$D129)</f>
        <v>1.6724493716021285</v>
      </c>
      <c r="U129" s="42">
        <f>DSUM($B$80:$Y$96,U$80,$C$105:$D129)</f>
        <v>1.2592487591746968</v>
      </c>
      <c r="V129" s="42">
        <f>DSUM($B$80:$Y$96,V$80,$C$105:$D129)</f>
        <v>0.86269217007936716</v>
      </c>
      <c r="W129" s="42">
        <f>DSUM($B$80:$Y$96,W$80,$C$105:$D129)</f>
        <v>0.53231215520601216</v>
      </c>
      <c r="X129" s="42">
        <f>DSUM($B$80:$Y$96,X$80,$C$105:$D129)</f>
        <v>0.25820882210231544</v>
      </c>
      <c r="Y129" s="42">
        <f>DSUM($B$80:$Y$96,Y$80,$C$105:$D129)</f>
        <v>25.820882210231542</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B130" s="7" t="s">
        <v>509</v>
      </c>
      <c r="C130" s="45" t="s">
        <v>510</v>
      </c>
      <c r="D130" s="45" t="s">
        <v>511</v>
      </c>
      <c r="E130" s="42">
        <f>DSUM($B$80:$Y$96,E$80,$C$105:$D130)</f>
        <v>5.7663709567262474E-2</v>
      </c>
      <c r="F130" s="42">
        <f>DSUM($B$80:$Y$96,F$80,$C$105:$D130)</f>
        <v>0.1158435993163569</v>
      </c>
      <c r="G130" s="42">
        <f>DSUM($B$80:$Y$96,G$80,$C$105:$D130)</f>
        <v>0.20674208954674581</v>
      </c>
      <c r="H130" s="42">
        <f>DSUM($B$80:$Y$96,H$80,$C$105:$D130)</f>
        <v>0.33818856587896839</v>
      </c>
      <c r="I130" s="42">
        <f>DSUM($B$80:$Y$96,I$80,$C$105:$D130)</f>
        <v>0.51806937168895828</v>
      </c>
      <c r="J130" s="42">
        <f>DSUM($B$80:$Y$96,J$80,$C$105:$D130)</f>
        <v>0.74676449928009458</v>
      </c>
      <c r="K130" s="42">
        <f>DSUM($B$80:$Y$96,K$80,$C$105:$D130)</f>
        <v>1.022305334386002</v>
      </c>
      <c r="L130" s="42">
        <f>DSUM($B$80:$Y$96,L$80,$C$105:$D130)</f>
        <v>1.334210772006162</v>
      </c>
      <c r="M130" s="42">
        <f>DSUM($B$80:$Y$96,M$80,$C$105:$D130)</f>
        <v>1.6610666134035827</v>
      </c>
      <c r="N130" s="42">
        <f>DSUM($B$80:$Y$96,N$80,$C$105:$D130)</f>
        <v>1.9796319633841555</v>
      </c>
      <c r="O130" s="42">
        <f>DSUM($B$80:$Y$96,O$80,$C$105:$D130)</f>
        <v>2.235850913540411</v>
      </c>
      <c r="P130" s="42">
        <f>DSUM($B$80:$Y$96,P$80,$C$105:$D130)</f>
        <v>2.3942292144501347</v>
      </c>
      <c r="Q130" s="42">
        <f>DSUM($B$80:$Y$96,Q$80,$C$105:$D130)</f>
        <v>2.4202174026329621</v>
      </c>
      <c r="R130" s="42">
        <f>DSUM($B$80:$Y$96,R$80,$C$105:$D130)</f>
        <v>2.2966805263924313</v>
      </c>
      <c r="S130" s="42">
        <f>DSUM($B$80:$Y$96,S$80,$C$105:$D130)</f>
        <v>2.0400684832300686</v>
      </c>
      <c r="T130" s="42">
        <f>DSUM($B$80:$Y$96,T$80,$C$105:$D130)</f>
        <v>1.6724493716021285</v>
      </c>
      <c r="U130" s="42">
        <f>DSUM($B$80:$Y$96,U$80,$C$105:$D130)</f>
        <v>1.2592487591746968</v>
      </c>
      <c r="V130" s="42">
        <f>DSUM($B$80:$Y$96,V$80,$C$105:$D130)</f>
        <v>0.86269217007936716</v>
      </c>
      <c r="W130" s="42">
        <f>DSUM($B$80:$Y$96,W$80,$C$105:$D130)</f>
        <v>0.53231215520601216</v>
      </c>
      <c r="X130" s="42">
        <f>DSUM($B$80:$Y$96,X$80,$C$105:$D130)</f>
        <v>0.25820882210231544</v>
      </c>
      <c r="Y130" s="42">
        <f>DSUM($B$80:$Y$96,Y$80,$C$105:$D130)</f>
        <v>25.820882210231542</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B131" s="7" t="s">
        <v>512</v>
      </c>
      <c r="C131" s="45" t="s">
        <v>513</v>
      </c>
      <c r="D131" s="45" t="s">
        <v>514</v>
      </c>
      <c r="E131" s="42">
        <f>DSUM($B$80:$Y$96,E$80,$C$105:$D131)</f>
        <v>5.7663709567262474E-2</v>
      </c>
      <c r="F131" s="42">
        <f>DSUM($B$80:$Y$96,F$80,$C$105:$D131)</f>
        <v>0.1158435993163569</v>
      </c>
      <c r="G131" s="42">
        <f>DSUM($B$80:$Y$96,G$80,$C$105:$D131)</f>
        <v>0.20674208954674581</v>
      </c>
      <c r="H131" s="42">
        <f>DSUM($B$80:$Y$96,H$80,$C$105:$D131)</f>
        <v>0.33818856587896839</v>
      </c>
      <c r="I131" s="42">
        <f>DSUM($B$80:$Y$96,I$80,$C$105:$D131)</f>
        <v>0.51806937168895828</v>
      </c>
      <c r="J131" s="42">
        <f>DSUM($B$80:$Y$96,J$80,$C$105:$D131)</f>
        <v>0.74676449928009458</v>
      </c>
      <c r="K131" s="42">
        <f>DSUM($B$80:$Y$96,K$80,$C$105:$D131)</f>
        <v>1.022305334386002</v>
      </c>
      <c r="L131" s="42">
        <f>DSUM($B$80:$Y$96,L$80,$C$105:$D131)</f>
        <v>1.334210772006162</v>
      </c>
      <c r="M131" s="42">
        <f>DSUM($B$80:$Y$96,M$80,$C$105:$D131)</f>
        <v>1.6610666134035827</v>
      </c>
      <c r="N131" s="42">
        <f>DSUM($B$80:$Y$96,N$80,$C$105:$D131)</f>
        <v>1.9796319633841555</v>
      </c>
      <c r="O131" s="42">
        <f>DSUM($B$80:$Y$96,O$80,$C$105:$D131)</f>
        <v>2.235850913540411</v>
      </c>
      <c r="P131" s="42">
        <f>DSUM($B$80:$Y$96,P$80,$C$105:$D131)</f>
        <v>2.3942292144501347</v>
      </c>
      <c r="Q131" s="42">
        <f>DSUM($B$80:$Y$96,Q$80,$C$105:$D131)</f>
        <v>2.4202174026329621</v>
      </c>
      <c r="R131" s="42">
        <f>DSUM($B$80:$Y$96,R$80,$C$105:$D131)</f>
        <v>2.2966805263924313</v>
      </c>
      <c r="S131" s="42">
        <f>DSUM($B$80:$Y$96,S$80,$C$105:$D131)</f>
        <v>2.0400684832300686</v>
      </c>
      <c r="T131" s="42">
        <f>DSUM($B$80:$Y$96,T$80,$C$105:$D131)</f>
        <v>1.6724493716021285</v>
      </c>
      <c r="U131" s="42">
        <f>DSUM($B$80:$Y$96,U$80,$C$105:$D131)</f>
        <v>1.2592487591746968</v>
      </c>
      <c r="V131" s="42">
        <f>DSUM($B$80:$Y$96,V$80,$C$105:$D131)</f>
        <v>0.86269217007936716</v>
      </c>
      <c r="W131" s="42">
        <f>DSUM($B$80:$Y$96,W$80,$C$105:$D131)</f>
        <v>0.53231215520601216</v>
      </c>
      <c r="X131" s="42">
        <f>DSUM($B$80:$Y$96,X$80,$C$105:$D131)</f>
        <v>0.25820882210231544</v>
      </c>
      <c r="Y131" s="42">
        <f>DSUM($B$80:$Y$96,Y$80,$C$105:$D131)</f>
        <v>25.820882210231542</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c r="B132" s="7" t="s">
        <v>515</v>
      </c>
      <c r="C132" s="45" t="s">
        <v>516</v>
      </c>
      <c r="D132" s="45" t="s">
        <v>517</v>
      </c>
      <c r="E132" s="42">
        <f>DSUM($B$80:$Y$96,E$80,$C$105:$D132)</f>
        <v>5.7663709567262474E-2</v>
      </c>
      <c r="F132" s="42">
        <f>DSUM($B$80:$Y$96,F$80,$C$105:$D132)</f>
        <v>0.1158435993163569</v>
      </c>
      <c r="G132" s="42">
        <f>DSUM($B$80:$Y$96,G$80,$C$105:$D132)</f>
        <v>0.20674208954674581</v>
      </c>
      <c r="H132" s="42">
        <f>DSUM($B$80:$Y$96,H$80,$C$105:$D132)</f>
        <v>0.33818856587896839</v>
      </c>
      <c r="I132" s="42">
        <f>DSUM($B$80:$Y$96,I$80,$C$105:$D132)</f>
        <v>0.51806937168895828</v>
      </c>
      <c r="J132" s="42">
        <f>DSUM($B$80:$Y$96,J$80,$C$105:$D132)</f>
        <v>0.74676449928009458</v>
      </c>
      <c r="K132" s="42">
        <f>DSUM($B$80:$Y$96,K$80,$C$105:$D132)</f>
        <v>1.022305334386002</v>
      </c>
      <c r="L132" s="42">
        <f>DSUM($B$80:$Y$96,L$80,$C$105:$D132)</f>
        <v>1.334210772006162</v>
      </c>
      <c r="M132" s="42">
        <f>DSUM($B$80:$Y$96,M$80,$C$105:$D132)</f>
        <v>1.6610666134035827</v>
      </c>
      <c r="N132" s="42">
        <f>DSUM($B$80:$Y$96,N$80,$C$105:$D132)</f>
        <v>1.9796319633841555</v>
      </c>
      <c r="O132" s="42">
        <f>DSUM($B$80:$Y$96,O$80,$C$105:$D132)</f>
        <v>2.235850913540411</v>
      </c>
      <c r="P132" s="42">
        <f>DSUM($B$80:$Y$96,P$80,$C$105:$D132)</f>
        <v>2.3942292144501347</v>
      </c>
      <c r="Q132" s="42">
        <f>DSUM($B$80:$Y$96,Q$80,$C$105:$D132)</f>
        <v>2.4202174026329621</v>
      </c>
      <c r="R132" s="42">
        <f>DSUM($B$80:$Y$96,R$80,$C$105:$D132)</f>
        <v>2.2966805263924313</v>
      </c>
      <c r="S132" s="42">
        <f>DSUM($B$80:$Y$96,S$80,$C$105:$D132)</f>
        <v>2.0400684832300686</v>
      </c>
      <c r="T132" s="42">
        <f>DSUM($B$80:$Y$96,T$80,$C$105:$D132)</f>
        <v>1.6724493716021285</v>
      </c>
      <c r="U132" s="42">
        <f>DSUM($B$80:$Y$96,U$80,$C$105:$D132)</f>
        <v>1.2592487591746968</v>
      </c>
      <c r="V132" s="42">
        <f>DSUM($B$80:$Y$96,V$80,$C$105:$D132)</f>
        <v>0.86269217007936716</v>
      </c>
      <c r="W132" s="42">
        <f>DSUM($B$80:$Y$96,W$80,$C$105:$D132)</f>
        <v>0.53231215520601216</v>
      </c>
      <c r="X132" s="42">
        <f>DSUM($B$80:$Y$96,X$80,$C$105:$D132)</f>
        <v>0.25820882210231544</v>
      </c>
      <c r="Y132" s="42">
        <f>DSUM($B$80:$Y$96,Y$80,$C$105:$D132)</f>
        <v>25.820882210231542</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c r="B133" s="7" t="s">
        <v>518</v>
      </c>
      <c r="C133" s="45" t="s">
        <v>519</v>
      </c>
      <c r="D133" s="45" t="s">
        <v>520</v>
      </c>
      <c r="E133" s="42">
        <f>DSUM($B$80:$Y$96,E$80,$C$105:$D133)</f>
        <v>5.7663709567262474E-2</v>
      </c>
      <c r="F133" s="42">
        <f>DSUM($B$80:$Y$96,F$80,$C$105:$D133)</f>
        <v>0.1158435993163569</v>
      </c>
      <c r="G133" s="42">
        <f>DSUM($B$80:$Y$96,G$80,$C$105:$D133)</f>
        <v>0.20674208954674581</v>
      </c>
      <c r="H133" s="42">
        <f>DSUM($B$80:$Y$96,H$80,$C$105:$D133)</f>
        <v>0.33818856587896839</v>
      </c>
      <c r="I133" s="42">
        <f>DSUM($B$80:$Y$96,I$80,$C$105:$D133)</f>
        <v>0.51806937168895828</v>
      </c>
      <c r="J133" s="42">
        <f>DSUM($B$80:$Y$96,J$80,$C$105:$D133)</f>
        <v>0.74676449928009458</v>
      </c>
      <c r="K133" s="42">
        <f>DSUM($B$80:$Y$96,K$80,$C$105:$D133)</f>
        <v>1.022305334386002</v>
      </c>
      <c r="L133" s="42">
        <f>DSUM($B$80:$Y$96,L$80,$C$105:$D133)</f>
        <v>1.334210772006162</v>
      </c>
      <c r="M133" s="42">
        <f>DSUM($B$80:$Y$96,M$80,$C$105:$D133)</f>
        <v>1.6610666134035827</v>
      </c>
      <c r="N133" s="42">
        <f>DSUM($B$80:$Y$96,N$80,$C$105:$D133)</f>
        <v>1.9796319633841555</v>
      </c>
      <c r="O133" s="42">
        <f>DSUM($B$80:$Y$96,O$80,$C$105:$D133)</f>
        <v>2.235850913540411</v>
      </c>
      <c r="P133" s="42">
        <f>DSUM($B$80:$Y$96,P$80,$C$105:$D133)</f>
        <v>2.3942292144501347</v>
      </c>
      <c r="Q133" s="42">
        <f>DSUM($B$80:$Y$96,Q$80,$C$105:$D133)</f>
        <v>2.4202174026329621</v>
      </c>
      <c r="R133" s="42">
        <f>DSUM($B$80:$Y$96,R$80,$C$105:$D133)</f>
        <v>2.2966805263924313</v>
      </c>
      <c r="S133" s="42">
        <f>DSUM($B$80:$Y$96,S$80,$C$105:$D133)</f>
        <v>2.0400684832300686</v>
      </c>
      <c r="T133" s="42">
        <f>DSUM($B$80:$Y$96,T$80,$C$105:$D133)</f>
        <v>1.6724493716021285</v>
      </c>
      <c r="U133" s="42">
        <f>DSUM($B$80:$Y$96,U$80,$C$105:$D133)</f>
        <v>1.2592487591746968</v>
      </c>
      <c r="V133" s="42">
        <f>DSUM($B$80:$Y$96,V$80,$C$105:$D133)</f>
        <v>0.86269217007936716</v>
      </c>
      <c r="W133" s="42">
        <f>DSUM($B$80:$Y$96,W$80,$C$105:$D133)</f>
        <v>0.53231215520601216</v>
      </c>
      <c r="X133" s="42">
        <f>DSUM($B$80:$Y$96,X$80,$C$105:$D133)</f>
        <v>0.25820882210231544</v>
      </c>
      <c r="Y133" s="42">
        <f>DSUM($B$80:$Y$96,Y$80,$C$105:$D133)</f>
        <v>25.820882210231542</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c r="B134" s="7" t="s">
        <v>521</v>
      </c>
      <c r="C134" s="45" t="s">
        <v>522</v>
      </c>
      <c r="D134" s="45" t="s">
        <v>523</v>
      </c>
      <c r="E134" s="42">
        <f>DSUM($B$80:$Y$96,E$80,$C$105:$D134)</f>
        <v>5.7663709567262474E-2</v>
      </c>
      <c r="F134" s="42">
        <f>DSUM($B$80:$Y$96,F$80,$C$105:$D134)</f>
        <v>0.1158435993163569</v>
      </c>
      <c r="G134" s="42">
        <f>DSUM($B$80:$Y$96,G$80,$C$105:$D134)</f>
        <v>0.20674208954674581</v>
      </c>
      <c r="H134" s="42">
        <f>DSUM($B$80:$Y$96,H$80,$C$105:$D134)</f>
        <v>0.33818856587896839</v>
      </c>
      <c r="I134" s="42">
        <f>DSUM($B$80:$Y$96,I$80,$C$105:$D134)</f>
        <v>0.51806937168895828</v>
      </c>
      <c r="J134" s="42">
        <f>DSUM($B$80:$Y$96,J$80,$C$105:$D134)</f>
        <v>0.74676449928009458</v>
      </c>
      <c r="K134" s="42">
        <f>DSUM($B$80:$Y$96,K$80,$C$105:$D134)</f>
        <v>1.022305334386002</v>
      </c>
      <c r="L134" s="42">
        <f>DSUM($B$80:$Y$96,L$80,$C$105:$D134)</f>
        <v>1.334210772006162</v>
      </c>
      <c r="M134" s="42">
        <f>DSUM($B$80:$Y$96,M$80,$C$105:$D134)</f>
        <v>1.6610666134035827</v>
      </c>
      <c r="N134" s="42">
        <f>DSUM($B$80:$Y$96,N$80,$C$105:$D134)</f>
        <v>1.9796319633841555</v>
      </c>
      <c r="O134" s="42">
        <f>DSUM($B$80:$Y$96,O$80,$C$105:$D134)</f>
        <v>2.235850913540411</v>
      </c>
      <c r="P134" s="42">
        <f>DSUM($B$80:$Y$96,P$80,$C$105:$D134)</f>
        <v>2.3942292144501347</v>
      </c>
      <c r="Q134" s="42">
        <f>DSUM($B$80:$Y$96,Q$80,$C$105:$D134)</f>
        <v>2.4202174026329621</v>
      </c>
      <c r="R134" s="42">
        <f>DSUM($B$80:$Y$96,R$80,$C$105:$D134)</f>
        <v>2.2966805263924313</v>
      </c>
      <c r="S134" s="42">
        <f>DSUM($B$80:$Y$96,S$80,$C$105:$D134)</f>
        <v>2.0400684832300686</v>
      </c>
      <c r="T134" s="42">
        <f>DSUM($B$80:$Y$96,T$80,$C$105:$D134)</f>
        <v>1.6724493716021285</v>
      </c>
      <c r="U134" s="42">
        <f>DSUM($B$80:$Y$96,U$80,$C$105:$D134)</f>
        <v>1.2592487591746968</v>
      </c>
      <c r="V134" s="42">
        <f>DSUM($B$80:$Y$96,V$80,$C$105:$D134)</f>
        <v>0.86269217007936716</v>
      </c>
      <c r="W134" s="42">
        <f>DSUM($B$80:$Y$96,W$80,$C$105:$D134)</f>
        <v>0.53231215520601216</v>
      </c>
      <c r="X134" s="42">
        <f>DSUM($B$80:$Y$96,X$80,$C$105:$D134)</f>
        <v>0.25820882210231544</v>
      </c>
      <c r="Y134" s="42">
        <f>DSUM($B$80:$Y$96,Y$80,$C$105:$D134)</f>
        <v>25.820882210231542</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B135" s="7" t="s">
        <v>524</v>
      </c>
      <c r="C135" s="45" t="s">
        <v>525</v>
      </c>
      <c r="D135" s="45" t="s">
        <v>526</v>
      </c>
      <c r="E135" s="42">
        <f>DSUM($B$80:$Y$96,E$80,$C$105:$D135)</f>
        <v>5.7663709567262474E-2</v>
      </c>
      <c r="F135" s="42">
        <f>DSUM($B$80:$Y$96,F$80,$C$105:$D135)</f>
        <v>0.1158435993163569</v>
      </c>
      <c r="G135" s="42">
        <f>DSUM($B$80:$Y$96,G$80,$C$105:$D135)</f>
        <v>0.20674208954674581</v>
      </c>
      <c r="H135" s="42">
        <f>DSUM($B$80:$Y$96,H$80,$C$105:$D135)</f>
        <v>0.33818856587896839</v>
      </c>
      <c r="I135" s="42">
        <f>DSUM($B$80:$Y$96,I$80,$C$105:$D135)</f>
        <v>0.51806937168895828</v>
      </c>
      <c r="J135" s="42">
        <f>DSUM($B$80:$Y$96,J$80,$C$105:$D135)</f>
        <v>0.74676449928009458</v>
      </c>
      <c r="K135" s="42">
        <f>DSUM($B$80:$Y$96,K$80,$C$105:$D135)</f>
        <v>1.022305334386002</v>
      </c>
      <c r="L135" s="42">
        <f>DSUM($B$80:$Y$96,L$80,$C$105:$D135)</f>
        <v>1.334210772006162</v>
      </c>
      <c r="M135" s="42">
        <f>DSUM($B$80:$Y$96,M$80,$C$105:$D135)</f>
        <v>1.6610666134035827</v>
      </c>
      <c r="N135" s="42">
        <f>DSUM($B$80:$Y$96,N$80,$C$105:$D135)</f>
        <v>1.9796319633841555</v>
      </c>
      <c r="O135" s="42">
        <f>DSUM($B$80:$Y$96,O$80,$C$105:$D135)</f>
        <v>2.235850913540411</v>
      </c>
      <c r="P135" s="42">
        <f>DSUM($B$80:$Y$96,P$80,$C$105:$D135)</f>
        <v>2.3942292144501347</v>
      </c>
      <c r="Q135" s="42">
        <f>DSUM($B$80:$Y$96,Q$80,$C$105:$D135)</f>
        <v>2.4202174026329621</v>
      </c>
      <c r="R135" s="42">
        <f>DSUM($B$80:$Y$96,R$80,$C$105:$D135)</f>
        <v>2.2966805263924313</v>
      </c>
      <c r="S135" s="42">
        <f>DSUM($B$80:$Y$96,S$80,$C$105:$D135)</f>
        <v>2.0400684832300686</v>
      </c>
      <c r="T135" s="42">
        <f>DSUM($B$80:$Y$96,T$80,$C$105:$D135)</f>
        <v>1.6724493716021285</v>
      </c>
      <c r="U135" s="42">
        <f>DSUM($B$80:$Y$96,U$80,$C$105:$D135)</f>
        <v>1.2592487591746968</v>
      </c>
      <c r="V135" s="42">
        <f>DSUM($B$80:$Y$96,V$80,$C$105:$D135)</f>
        <v>0.86269217007936716</v>
      </c>
      <c r="W135" s="42">
        <f>DSUM($B$80:$Y$96,W$80,$C$105:$D135)</f>
        <v>0.53231215520601216</v>
      </c>
      <c r="X135" s="42">
        <f>DSUM($B$80:$Y$96,X$80,$C$105:$D135)</f>
        <v>0.25820882210231544</v>
      </c>
      <c r="Y135" s="42">
        <f>DSUM($B$80:$Y$96,Y$80,$C$105:$D135)</f>
        <v>25.820882210231542</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c r="B136" s="7" t="s">
        <v>527</v>
      </c>
      <c r="C136" s="45" t="s">
        <v>528</v>
      </c>
      <c r="D136" s="45" t="s">
        <v>529</v>
      </c>
      <c r="E136" s="42">
        <f>DSUM($B$80:$Y$96,E$80,$C$105:$D136)</f>
        <v>5.7663709567262474E-2</v>
      </c>
      <c r="F136" s="42">
        <f>DSUM($B$80:$Y$96,F$80,$C$105:$D136)</f>
        <v>0.1158435993163569</v>
      </c>
      <c r="G136" s="42">
        <f>DSUM($B$80:$Y$96,G$80,$C$105:$D136)</f>
        <v>0.20674208954674581</v>
      </c>
      <c r="H136" s="42">
        <f>DSUM($B$80:$Y$96,H$80,$C$105:$D136)</f>
        <v>0.33818856587896839</v>
      </c>
      <c r="I136" s="42">
        <f>DSUM($B$80:$Y$96,I$80,$C$105:$D136)</f>
        <v>0.51806937168895828</v>
      </c>
      <c r="J136" s="42">
        <f>DSUM($B$80:$Y$96,J$80,$C$105:$D136)</f>
        <v>0.74676449928009458</v>
      </c>
      <c r="K136" s="42">
        <f>DSUM($B$80:$Y$96,K$80,$C$105:$D136)</f>
        <v>1.022305334386002</v>
      </c>
      <c r="L136" s="42">
        <f>DSUM($B$80:$Y$96,L$80,$C$105:$D136)</f>
        <v>1.334210772006162</v>
      </c>
      <c r="M136" s="42">
        <f>DSUM($B$80:$Y$96,M$80,$C$105:$D136)</f>
        <v>1.6610666134035827</v>
      </c>
      <c r="N136" s="42">
        <f>DSUM($B$80:$Y$96,N$80,$C$105:$D136)</f>
        <v>1.9796319633841555</v>
      </c>
      <c r="O136" s="42">
        <f>DSUM($B$80:$Y$96,O$80,$C$105:$D136)</f>
        <v>2.235850913540411</v>
      </c>
      <c r="P136" s="42">
        <f>DSUM($B$80:$Y$96,P$80,$C$105:$D136)</f>
        <v>2.3942292144501347</v>
      </c>
      <c r="Q136" s="42">
        <f>DSUM($B$80:$Y$96,Q$80,$C$105:$D136)</f>
        <v>2.4202174026329621</v>
      </c>
      <c r="R136" s="42">
        <f>DSUM($B$80:$Y$96,R$80,$C$105:$D136)</f>
        <v>2.2966805263924313</v>
      </c>
      <c r="S136" s="42">
        <f>DSUM($B$80:$Y$96,S$80,$C$105:$D136)</f>
        <v>2.0400684832300686</v>
      </c>
      <c r="T136" s="42">
        <f>DSUM($B$80:$Y$96,T$80,$C$105:$D136)</f>
        <v>1.6724493716021285</v>
      </c>
      <c r="U136" s="42">
        <f>DSUM($B$80:$Y$96,U$80,$C$105:$D136)</f>
        <v>1.2592487591746968</v>
      </c>
      <c r="V136" s="42">
        <f>DSUM($B$80:$Y$96,V$80,$C$105:$D136)</f>
        <v>0.86269217007936716</v>
      </c>
      <c r="W136" s="42">
        <f>DSUM($B$80:$Y$96,W$80,$C$105:$D136)</f>
        <v>0.53231215520601216</v>
      </c>
      <c r="X136" s="42">
        <f>DSUM($B$80:$Y$96,X$80,$C$105:$D136)</f>
        <v>0.25820882210231544</v>
      </c>
      <c r="Y136" s="42">
        <f>DSUM($B$80:$Y$96,Y$80,$C$105:$D136)</f>
        <v>25.820882210231542</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c r="B137" s="7" t="s">
        <v>530</v>
      </c>
      <c r="C137" s="45" t="s">
        <v>531</v>
      </c>
      <c r="D137" s="45" t="s">
        <v>103</v>
      </c>
      <c r="E137" s="42">
        <f>DSUM($B$80:$Y$96,E$80,$C$105:$D137)</f>
        <v>5.7663709567262474E-2</v>
      </c>
      <c r="F137" s="42">
        <f>DSUM($B$80:$Y$96,F$80,$C$105:$D137)</f>
        <v>0.1158435993163569</v>
      </c>
      <c r="G137" s="42">
        <f>DSUM($B$80:$Y$96,G$80,$C$105:$D137)</f>
        <v>0.20674208954674581</v>
      </c>
      <c r="H137" s="42">
        <f>DSUM($B$80:$Y$96,H$80,$C$105:$D137)</f>
        <v>0.33818856587896839</v>
      </c>
      <c r="I137" s="42">
        <f>DSUM($B$80:$Y$96,I$80,$C$105:$D137)</f>
        <v>0.51806937168895828</v>
      </c>
      <c r="J137" s="42">
        <f>DSUM($B$80:$Y$96,J$80,$C$105:$D137)</f>
        <v>0.74676449928009458</v>
      </c>
      <c r="K137" s="42">
        <f>DSUM($B$80:$Y$96,K$80,$C$105:$D137)</f>
        <v>1.022305334386002</v>
      </c>
      <c r="L137" s="42">
        <f>DSUM($B$80:$Y$96,L$80,$C$105:$D137)</f>
        <v>1.334210772006162</v>
      </c>
      <c r="M137" s="42">
        <f>DSUM($B$80:$Y$96,M$80,$C$105:$D137)</f>
        <v>1.6610666134035827</v>
      </c>
      <c r="N137" s="42">
        <f>DSUM($B$80:$Y$96,N$80,$C$105:$D137)</f>
        <v>1.9796319633841555</v>
      </c>
      <c r="O137" s="42">
        <f>DSUM($B$80:$Y$96,O$80,$C$105:$D137)</f>
        <v>2.235850913540411</v>
      </c>
      <c r="P137" s="42">
        <f>DSUM($B$80:$Y$96,P$80,$C$105:$D137)</f>
        <v>2.3942292144501347</v>
      </c>
      <c r="Q137" s="42">
        <f>DSUM($B$80:$Y$96,Q$80,$C$105:$D137)</f>
        <v>2.4202174026329621</v>
      </c>
      <c r="R137" s="42">
        <f>DSUM($B$80:$Y$96,R$80,$C$105:$D137)</f>
        <v>2.2966805263924313</v>
      </c>
      <c r="S137" s="42">
        <f>DSUM($B$80:$Y$96,S$80,$C$105:$D137)</f>
        <v>2.0400684832300686</v>
      </c>
      <c r="T137" s="42">
        <f>DSUM($B$80:$Y$96,T$80,$C$105:$D137)</f>
        <v>1.6724493716021285</v>
      </c>
      <c r="U137" s="42">
        <f>DSUM($B$80:$Y$96,U$80,$C$105:$D137)</f>
        <v>1.2592487591746968</v>
      </c>
      <c r="V137" s="42">
        <f>DSUM($B$80:$Y$96,V$80,$C$105:$D137)</f>
        <v>0.86269217007936716</v>
      </c>
      <c r="W137" s="42">
        <f>DSUM($B$80:$Y$96,W$80,$C$105:$D137)</f>
        <v>0.53231215520601216</v>
      </c>
      <c r="X137" s="42">
        <f>DSUM($B$80:$Y$96,X$80,$C$105:$D137)</f>
        <v>0.25820882210231544</v>
      </c>
      <c r="Y137" s="42">
        <f>DSUM($B$80:$Y$96,Y$80,$C$105:$D137)</f>
        <v>25.820882210231542</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E139" s="26">
        <f>E137</f>
        <v>5.7663709567262474E-2</v>
      </c>
      <c r="F139" s="26">
        <f>F137+E139</f>
        <v>0.17350730888361937</v>
      </c>
      <c r="G139" s="26">
        <f t="shared" ref="G139:X139" si="55">G137+F139</f>
        <v>0.3802493984303652</v>
      </c>
      <c r="H139" s="26">
        <f t="shared" si="55"/>
        <v>0.7184379643093336</v>
      </c>
      <c r="I139" s="26">
        <f t="shared" si="55"/>
        <v>1.2365073359982919</v>
      </c>
      <c r="J139" s="26">
        <f t="shared" si="55"/>
        <v>1.9832718352783865</v>
      </c>
      <c r="K139" s="26">
        <f t="shared" si="55"/>
        <v>3.0055771696643885</v>
      </c>
      <c r="L139" s="26">
        <f t="shared" si="55"/>
        <v>4.3397879416705507</v>
      </c>
      <c r="M139" s="26">
        <f t="shared" si="55"/>
        <v>6.0008545550741337</v>
      </c>
      <c r="N139" s="26">
        <f t="shared" si="55"/>
        <v>7.9804865184582887</v>
      </c>
      <c r="O139" s="26">
        <f t="shared" si="55"/>
        <v>10.216337431998699</v>
      </c>
      <c r="P139" s="26">
        <f t="shared" si="55"/>
        <v>12.610566646448834</v>
      </c>
      <c r="Q139" s="26">
        <f t="shared" si="55"/>
        <v>15.030784049081797</v>
      </c>
      <c r="R139" s="26">
        <f t="shared" si="55"/>
        <v>17.327464575474227</v>
      </c>
      <c r="S139" s="26">
        <f t="shared" si="55"/>
        <v>19.367533058704296</v>
      </c>
      <c r="T139" s="26">
        <f t="shared" si="55"/>
        <v>21.039982430306424</v>
      </c>
      <c r="U139" s="26">
        <f t="shared" si="55"/>
        <v>22.299231189481119</v>
      </c>
      <c r="V139" s="26">
        <f t="shared" si="55"/>
        <v>23.161923359560486</v>
      </c>
      <c r="W139" s="26">
        <f t="shared" si="55"/>
        <v>23.694235514766497</v>
      </c>
      <c r="X139" s="26">
        <f t="shared" si="55"/>
        <v>23.952444336868812</v>
      </c>
      <c r="Y139" s="26"/>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ht="15">
      <c r="A140" s="49" t="s">
        <v>104</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ht="15">
      <c r="D141" s="57" t="str">
        <f>C34</f>
        <v>Irrigation Pressure - Retro</v>
      </c>
      <c r="E141" s="51">
        <f t="shared" ref="E141:X141" si="56">E11</f>
        <v>2016</v>
      </c>
      <c r="F141" s="52">
        <f t="shared" si="56"/>
        <v>2017</v>
      </c>
      <c r="G141" s="52">
        <f t="shared" si="56"/>
        <v>2018</v>
      </c>
      <c r="H141" s="52">
        <f t="shared" si="56"/>
        <v>2019</v>
      </c>
      <c r="I141" s="52">
        <f t="shared" si="56"/>
        <v>2020</v>
      </c>
      <c r="J141" s="52">
        <f t="shared" si="56"/>
        <v>2021</v>
      </c>
      <c r="K141" s="52">
        <f t="shared" si="56"/>
        <v>2022</v>
      </c>
      <c r="L141" s="52">
        <f t="shared" si="56"/>
        <v>2023</v>
      </c>
      <c r="M141" s="52">
        <f t="shared" si="56"/>
        <v>2024</v>
      </c>
      <c r="N141" s="52">
        <f t="shared" si="56"/>
        <v>2025</v>
      </c>
      <c r="O141" s="52">
        <f t="shared" si="56"/>
        <v>2026</v>
      </c>
      <c r="P141" s="52">
        <f t="shared" si="56"/>
        <v>2027</v>
      </c>
      <c r="Q141" s="52">
        <f t="shared" si="56"/>
        <v>2028</v>
      </c>
      <c r="R141" s="52">
        <f t="shared" si="56"/>
        <v>2029</v>
      </c>
      <c r="S141" s="52">
        <f t="shared" si="56"/>
        <v>2030</v>
      </c>
      <c r="T141" s="52">
        <f t="shared" si="56"/>
        <v>2031</v>
      </c>
      <c r="U141" s="52">
        <f t="shared" si="56"/>
        <v>2032</v>
      </c>
      <c r="V141" s="52">
        <f t="shared" si="56"/>
        <v>2033</v>
      </c>
      <c r="W141" s="52">
        <f t="shared" si="56"/>
        <v>2034</v>
      </c>
      <c r="X141" s="52">
        <f t="shared" si="56"/>
        <v>2035</v>
      </c>
      <c r="Y141" s="53" t="s">
        <v>31</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ht="15">
      <c r="E142" s="54" t="str">
        <f t="shared" ref="E142:X142" si="57">CONCATENATE("Units_",E$11)</f>
        <v>Units_2016</v>
      </c>
      <c r="F142" s="55" t="str">
        <f t="shared" si="57"/>
        <v>Units_2017</v>
      </c>
      <c r="G142" s="55" t="str">
        <f t="shared" si="57"/>
        <v>Units_2018</v>
      </c>
      <c r="H142" s="55" t="str">
        <f t="shared" si="57"/>
        <v>Units_2019</v>
      </c>
      <c r="I142" s="55" t="str">
        <f t="shared" si="57"/>
        <v>Units_2020</v>
      </c>
      <c r="J142" s="55" t="str">
        <f t="shared" si="57"/>
        <v>Units_2021</v>
      </c>
      <c r="K142" s="55" t="str">
        <f t="shared" si="57"/>
        <v>Units_2022</v>
      </c>
      <c r="L142" s="55" t="str">
        <f t="shared" si="57"/>
        <v>Units_2023</v>
      </c>
      <c r="M142" s="55" t="str">
        <f t="shared" si="57"/>
        <v>Units_2024</v>
      </c>
      <c r="N142" s="55" t="str">
        <f t="shared" si="57"/>
        <v>Units_2025</v>
      </c>
      <c r="O142" s="55" t="str">
        <f t="shared" si="57"/>
        <v>Units_2026</v>
      </c>
      <c r="P142" s="55" t="str">
        <f t="shared" si="57"/>
        <v>Units_2027</v>
      </c>
      <c r="Q142" s="55" t="str">
        <f t="shared" si="57"/>
        <v>Units_2028</v>
      </c>
      <c r="R142" s="55" t="str">
        <f t="shared" si="57"/>
        <v>Units_2029</v>
      </c>
      <c r="S142" s="55" t="str">
        <f t="shared" si="57"/>
        <v>Units_2030</v>
      </c>
      <c r="T142" s="55" t="str">
        <f t="shared" si="57"/>
        <v>Units_2031</v>
      </c>
      <c r="U142" s="55" t="str">
        <f t="shared" si="57"/>
        <v>Units_2032</v>
      </c>
      <c r="V142" s="55" t="str">
        <f t="shared" si="57"/>
        <v>Units_2033</v>
      </c>
      <c r="W142" s="55" t="str">
        <f t="shared" si="57"/>
        <v>Units_2034</v>
      </c>
      <c r="X142" s="55" t="str">
        <f t="shared" si="57"/>
        <v>Units_2035</v>
      </c>
      <c r="Y142" s="56" t="s">
        <v>31</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7" t="s">
        <v>38</v>
      </c>
      <c r="E143" s="46">
        <f>E106</f>
        <v>0</v>
      </c>
      <c r="F143" s="46">
        <f t="shared" ref="F143:Y143" si="58">F106</f>
        <v>0</v>
      </c>
      <c r="G143" s="46">
        <f t="shared" si="58"/>
        <v>0</v>
      </c>
      <c r="H143" s="46">
        <f t="shared" si="58"/>
        <v>0</v>
      </c>
      <c r="I143" s="46">
        <f t="shared" si="58"/>
        <v>0</v>
      </c>
      <c r="J143" s="46">
        <f t="shared" si="58"/>
        <v>0</v>
      </c>
      <c r="K143" s="46">
        <f t="shared" si="58"/>
        <v>0</v>
      </c>
      <c r="L143" s="46">
        <f t="shared" si="58"/>
        <v>0</v>
      </c>
      <c r="M143" s="46">
        <f t="shared" si="58"/>
        <v>0</v>
      </c>
      <c r="N143" s="46">
        <f t="shared" si="58"/>
        <v>0</v>
      </c>
      <c r="O143" s="46">
        <f t="shared" si="58"/>
        <v>0</v>
      </c>
      <c r="P143" s="46">
        <f t="shared" si="58"/>
        <v>0</v>
      </c>
      <c r="Q143" s="46">
        <f t="shared" si="58"/>
        <v>0</v>
      </c>
      <c r="R143" s="46">
        <f t="shared" si="58"/>
        <v>0</v>
      </c>
      <c r="S143" s="46">
        <f t="shared" si="58"/>
        <v>0</v>
      </c>
      <c r="T143" s="46">
        <f t="shared" si="58"/>
        <v>0</v>
      </c>
      <c r="U143" s="46">
        <f t="shared" si="58"/>
        <v>0</v>
      </c>
      <c r="V143" s="46">
        <f t="shared" si="58"/>
        <v>0</v>
      </c>
      <c r="W143" s="46">
        <f t="shared" si="58"/>
        <v>0</v>
      </c>
      <c r="X143" s="46">
        <f t="shared" si="58"/>
        <v>0</v>
      </c>
      <c r="Y143" s="46">
        <f t="shared" si="58"/>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7" t="s">
        <v>41</v>
      </c>
      <c r="E144" s="46">
        <f>E107-E106</f>
        <v>9.8503187621484783E-3</v>
      </c>
      <c r="F144" s="46">
        <f>F107-F106</f>
        <v>1.9900079795187941E-2</v>
      </c>
      <c r="G144" s="46">
        <f t="shared" ref="G144:X157" si="59">G107-G106</f>
        <v>3.5719732396831204E-2</v>
      </c>
      <c r="H144" s="46">
        <f t="shared" si="59"/>
        <v>5.8752270050173236E-2</v>
      </c>
      <c r="I144" s="46">
        <f t="shared" si="59"/>
        <v>9.0793141040707293E-2</v>
      </c>
      <c r="J144" s="46">
        <f t="shared" si="59"/>
        <v>0.13164761324638391</v>
      </c>
      <c r="K144" s="46">
        <f t="shared" si="59"/>
        <v>0.18121506104415827</v>
      </c>
      <c r="L144" s="46">
        <f t="shared" si="59"/>
        <v>0.23780693533465866</v>
      </c>
      <c r="M144" s="46">
        <f t="shared" si="59"/>
        <v>0.29760930238260397</v>
      </c>
      <c r="N144" s="46">
        <f>N107-N106</f>
        <v>0.35785955896610128</v>
      </c>
      <c r="O144" s="46">
        <f t="shared" si="59"/>
        <v>0.40614939502242869</v>
      </c>
      <c r="P144" s="46">
        <f t="shared" si="59"/>
        <v>0.43688309707073308</v>
      </c>
      <c r="Q144" s="46">
        <f t="shared" si="59"/>
        <v>0.44371968618489782</v>
      </c>
      <c r="R144" s="46">
        <f t="shared" si="59"/>
        <v>0.42287578763774814</v>
      </c>
      <c r="S144" s="46">
        <f t="shared" si="59"/>
        <v>0.37846889812822304</v>
      </c>
      <c r="T144" s="46">
        <f t="shared" si="59"/>
        <v>0.31169677571850463</v>
      </c>
      <c r="U144" s="46">
        <f t="shared" si="59"/>
        <v>0.23576965235607525</v>
      </c>
      <c r="V144" s="46">
        <f t="shared" si="59"/>
        <v>0.16224792190819654</v>
      </c>
      <c r="W144" s="46">
        <f t="shared" si="59"/>
        <v>0.10053965529908977</v>
      </c>
      <c r="X144" s="46">
        <f t="shared" si="59"/>
        <v>4.9138129900219187E-2</v>
      </c>
      <c r="Y144" s="46">
        <f t="shared" ref="Y144" si="60">Y107-Y106</f>
        <v>4.913812990021917</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7" t="s">
        <v>44</v>
      </c>
      <c r="E145" s="46">
        <f t="shared" ref="E145:T160" si="61">E108-E107</f>
        <v>3.2584201965475387E-2</v>
      </c>
      <c r="F145" s="46">
        <f t="shared" si="61"/>
        <v>6.529318467976121E-2</v>
      </c>
      <c r="G145" s="46">
        <f t="shared" si="59"/>
        <v>0.11622617578779373</v>
      </c>
      <c r="H145" s="46">
        <f t="shared" si="59"/>
        <v>0.1896276072764444</v>
      </c>
      <c r="I145" s="46">
        <f t="shared" si="59"/>
        <v>0.28924957145726404</v>
      </c>
      <c r="J145" s="46">
        <f t="shared" si="59"/>
        <v>0.41580848416049093</v>
      </c>
      <c r="K145" s="46">
        <f t="shared" si="59"/>
        <v>0.56775199891421912</v>
      </c>
      <c r="L145" s="46">
        <f t="shared" si="59"/>
        <v>0.73898370265713509</v>
      </c>
      <c r="M145" s="46">
        <f t="shared" si="59"/>
        <v>0.91769259825915184</v>
      </c>
      <c r="N145" s="46">
        <f t="shared" si="59"/>
        <v>1.0888263008452677</v>
      </c>
      <c r="O145" s="46">
        <f t="shared" si="59"/>
        <v>1.2267522167854628</v>
      </c>
      <c r="P145" s="46">
        <f t="shared" si="59"/>
        <v>1.3105684439274832</v>
      </c>
      <c r="Q145" s="46">
        <f t="shared" si="59"/>
        <v>1.3217341843982373</v>
      </c>
      <c r="R145" s="46">
        <f t="shared" si="59"/>
        <v>1.2514136109305394</v>
      </c>
      <c r="S145" s="46">
        <f t="shared" si="59"/>
        <v>1.1071655292129354</v>
      </c>
      <c r="T145" s="46">
        <f t="shared" si="59"/>
        <v>0.90547377414246377</v>
      </c>
      <c r="U145" s="46">
        <f t="shared" si="59"/>
        <v>0.68007986674452592</v>
      </c>
      <c r="V145" s="46">
        <f t="shared" si="59"/>
        <v>0.46477989266429859</v>
      </c>
      <c r="W145" s="46">
        <f t="shared" si="59"/>
        <v>0.28613026043381634</v>
      </c>
      <c r="X145" s="46">
        <f t="shared" si="59"/>
        <v>0.13821059162856267</v>
      </c>
      <c r="Y145" s="46">
        <f t="shared" ref="Y145" si="62">Y108-Y107</f>
        <v>13.821059162856262</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7" t="s">
        <v>47</v>
      </c>
      <c r="E146" s="46">
        <f t="shared" si="61"/>
        <v>2.7289582786248073E-3</v>
      </c>
      <c r="F146" s="46">
        <f t="shared" si="61"/>
        <v>5.5133389809536443E-3</v>
      </c>
      <c r="G146" s="46">
        <f t="shared" si="59"/>
        <v>9.8956412532600901E-3</v>
      </c>
      <c r="H146" s="46">
        <f t="shared" si="59"/>
        <v>1.6275351421251943E-2</v>
      </c>
      <c r="I146" s="46">
        <f t="shared" si="59"/>
        <v>2.5121074810228405E-2</v>
      </c>
      <c r="J146" s="46">
        <f t="shared" si="59"/>
        <v>3.6396759478428686E-2</v>
      </c>
      <c r="K146" s="46">
        <f t="shared" si="59"/>
        <v>5.0065888044134255E-2</v>
      </c>
      <c r="L146" s="46">
        <f t="shared" si="59"/>
        <v>6.5654688965022578E-2</v>
      </c>
      <c r="M146" s="46">
        <f t="shared" si="59"/>
        <v>8.2116246521285019E-2</v>
      </c>
      <c r="N146" s="46">
        <f t="shared" si="59"/>
        <v>9.8561883006353712E-2</v>
      </c>
      <c r="O146" s="46">
        <f t="shared" si="59"/>
        <v>0.11180634769585907</v>
      </c>
      <c r="P146" s="46">
        <f t="shared" si="59"/>
        <v>0.12021806880290398</v>
      </c>
      <c r="Q146" s="46">
        <f t="shared" si="59"/>
        <v>0.1220463281766857</v>
      </c>
      <c r="R146" s="46">
        <f t="shared" si="59"/>
        <v>0.11627237302997573</v>
      </c>
      <c r="S146" s="46">
        <f t="shared" si="59"/>
        <v>0.10391394422794775</v>
      </c>
      <c r="T146" s="46">
        <f t="shared" si="59"/>
        <v>8.5541867849372233E-2</v>
      </c>
      <c r="U146" s="46">
        <f t="shared" si="59"/>
        <v>6.467315694973097E-2</v>
      </c>
      <c r="V146" s="46">
        <f t="shared" si="59"/>
        <v>4.4485120440250325E-2</v>
      </c>
      <c r="W146" s="46">
        <f t="shared" si="59"/>
        <v>2.7555218335843623E-2</v>
      </c>
      <c r="X146" s="46">
        <f t="shared" si="59"/>
        <v>1.3446841070918092E-2</v>
      </c>
      <c r="Y146" s="46">
        <f t="shared" ref="Y146" si="63">Y109-Y108</f>
        <v>1.3446841070918119</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7" t="s">
        <v>50</v>
      </c>
      <c r="E147" s="46">
        <f t="shared" si="61"/>
        <v>2.301275916230118E-3</v>
      </c>
      <c r="F147" s="46">
        <f t="shared" si="61"/>
        <v>4.6468927499111606E-3</v>
      </c>
      <c r="G147" s="46">
        <f t="shared" si="59"/>
        <v>8.3341312700567494E-3</v>
      </c>
      <c r="H147" s="46">
        <f t="shared" si="59"/>
        <v>1.3707647710812898E-2</v>
      </c>
      <c r="I147" s="46">
        <f t="shared" si="59"/>
        <v>2.1202653103257918E-2</v>
      </c>
      <c r="J147" s="46">
        <f t="shared" si="59"/>
        <v>3.0722432990604065E-2</v>
      </c>
      <c r="K147" s="46">
        <f t="shared" si="59"/>
        <v>4.2280366706679673E-2</v>
      </c>
      <c r="L147" s="46">
        <f t="shared" si="59"/>
        <v>5.54914602036507E-2</v>
      </c>
      <c r="M147" s="46">
        <f t="shared" si="59"/>
        <v>6.9439470894544719E-2</v>
      </c>
      <c r="N147" s="46">
        <f t="shared" si="59"/>
        <v>8.3547980948748268E-2</v>
      </c>
      <c r="O147" s="46">
        <f t="shared" si="59"/>
        <v>9.4821961238220398E-2</v>
      </c>
      <c r="P147" s="46">
        <f t="shared" si="59"/>
        <v>0.10203820915184103</v>
      </c>
      <c r="Q147" s="46">
        <f t="shared" si="59"/>
        <v>0.10357808571553617</v>
      </c>
      <c r="R147" s="46">
        <f t="shared" si="59"/>
        <v>9.8758421422092679E-2</v>
      </c>
      <c r="S147" s="46">
        <f t="shared" si="59"/>
        <v>8.8460149611980787E-2</v>
      </c>
      <c r="T147" s="46">
        <f t="shared" si="59"/>
        <v>7.2858040799147039E-2</v>
      </c>
      <c r="U147" s="46">
        <f t="shared" si="59"/>
        <v>5.5128889579045048E-2</v>
      </c>
      <c r="V147" s="46">
        <f t="shared" si="59"/>
        <v>3.7950871125804864E-2</v>
      </c>
      <c r="W147" s="46">
        <f t="shared" si="59"/>
        <v>2.3519545169694067E-2</v>
      </c>
      <c r="X147" s="46">
        <f t="shared" si="59"/>
        <v>1.1508250675254128E-2</v>
      </c>
      <c r="Y147" s="46">
        <f t="shared" ref="Y147" si="64">Y110-Y109</f>
        <v>1.1508250675254139</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7" t="s">
        <v>53</v>
      </c>
      <c r="E148" s="46">
        <f t="shared" si="61"/>
        <v>6.2242321190214556E-4</v>
      </c>
      <c r="F148" s="46">
        <f t="shared" si="61"/>
        <v>1.257448807730599E-3</v>
      </c>
      <c r="G148" s="46">
        <f t="shared" si="59"/>
        <v>2.2570630558834404E-3</v>
      </c>
      <c r="H148" s="46">
        <f t="shared" si="59"/>
        <v>3.7124460146095162E-3</v>
      </c>
      <c r="I148" s="46">
        <f t="shared" si="59"/>
        <v>5.7370487016519256E-3</v>
      </c>
      <c r="J148" s="46">
        <f t="shared" si="59"/>
        <v>8.3185663585767511E-3</v>
      </c>
      <c r="K148" s="46">
        <f t="shared" si="59"/>
        <v>1.1450640640541798E-2</v>
      </c>
      <c r="L148" s="46">
        <f t="shared" si="59"/>
        <v>1.5026575289358357E-2</v>
      </c>
      <c r="M148" s="46">
        <f t="shared" si="59"/>
        <v>1.8805374968447808E-2</v>
      </c>
      <c r="N148" s="46">
        <f t="shared" si="59"/>
        <v>2.2612475949253863E-2</v>
      </c>
      <c r="O148" s="46">
        <f t="shared" si="59"/>
        <v>2.5663820335783294E-2</v>
      </c>
      <c r="P148" s="46">
        <f t="shared" si="59"/>
        <v>2.7605825463176581E-2</v>
      </c>
      <c r="Q148" s="46">
        <f t="shared" si="59"/>
        <v>2.803781673753436E-2</v>
      </c>
      <c r="R148" s="46">
        <f t="shared" si="59"/>
        <v>2.6720729788822561E-2</v>
      </c>
      <c r="S148" s="46">
        <f t="shared" si="59"/>
        <v>2.3914741529304173E-2</v>
      </c>
      <c r="T148" s="46">
        <f t="shared" si="59"/>
        <v>1.9695536049834317E-2</v>
      </c>
      <c r="U148" s="46">
        <f t="shared" si="59"/>
        <v>1.4897843189849436E-2</v>
      </c>
      <c r="V148" s="46">
        <f t="shared" si="59"/>
        <v>1.025214260746643E-2</v>
      </c>
      <c r="W148" s="46">
        <f t="shared" si="59"/>
        <v>6.3529127011870412E-3</v>
      </c>
      <c r="X148" s="46">
        <f t="shared" si="59"/>
        <v>3.1049464873041943E-3</v>
      </c>
      <c r="Y148" s="46">
        <f t="shared" ref="Y148" si="65">Y111-Y110</f>
        <v>0.31049464873041899</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7" t="s">
        <v>56</v>
      </c>
      <c r="E149" s="46">
        <f t="shared" si="61"/>
        <v>6.8651397473524362E-4</v>
      </c>
      <c r="F149" s="46">
        <f t="shared" si="61"/>
        <v>1.3861714788142021E-3</v>
      </c>
      <c r="G149" s="46">
        <f t="shared" si="59"/>
        <v>2.4859680815732532E-3</v>
      </c>
      <c r="H149" s="46">
        <f t="shared" si="59"/>
        <v>4.0889644655904278E-3</v>
      </c>
      <c r="I149" s="46">
        <f t="shared" si="59"/>
        <v>6.3293844436012048E-3</v>
      </c>
      <c r="J149" s="46">
        <f t="shared" si="59"/>
        <v>9.174525922665322E-3</v>
      </c>
      <c r="K149" s="46">
        <f t="shared" si="59"/>
        <v>1.2630568236532191E-2</v>
      </c>
      <c r="L149" s="46">
        <f t="shared" si="59"/>
        <v>1.6583739381004881E-2</v>
      </c>
      <c r="M149" s="46">
        <f t="shared" si="59"/>
        <v>2.0758688140328108E-2</v>
      </c>
      <c r="N149" s="46">
        <f t="shared" si="59"/>
        <v>2.5002300931370014E-2</v>
      </c>
      <c r="O149" s="46">
        <f t="shared" si="59"/>
        <v>2.838376119904118E-2</v>
      </c>
      <c r="P149" s="46">
        <f t="shared" si="59"/>
        <v>3.0551635099345109E-2</v>
      </c>
      <c r="Q149" s="46">
        <f t="shared" si="59"/>
        <v>3.1018510127649446E-2</v>
      </c>
      <c r="R149" s="46">
        <f t="shared" si="59"/>
        <v>2.9581971272331975E-2</v>
      </c>
      <c r="S149" s="46">
        <f t="shared" si="59"/>
        <v>2.6519552192118212E-2</v>
      </c>
      <c r="T149" s="46">
        <f t="shared" si="59"/>
        <v>2.1847648330703073E-2</v>
      </c>
      <c r="U149" s="46">
        <f t="shared" si="59"/>
        <v>1.6536063447472493E-2</v>
      </c>
      <c r="V149" s="46">
        <f t="shared" si="59"/>
        <v>1.1386633388251743E-2</v>
      </c>
      <c r="W149" s="46">
        <f t="shared" si="59"/>
        <v>7.0582587231693417E-3</v>
      </c>
      <c r="X149" s="46">
        <f t="shared" si="59"/>
        <v>3.4568171137649706E-3</v>
      </c>
      <c r="Y149" s="46">
        <f t="shared" ref="Y149" si="66">Y112-Y111</f>
        <v>0.34568171137649628</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7" t="s">
        <v>59</v>
      </c>
      <c r="E150" s="46">
        <f t="shared" si="61"/>
        <v>0</v>
      </c>
      <c r="F150" s="46">
        <f t="shared" si="61"/>
        <v>0</v>
      </c>
      <c r="G150" s="46">
        <f t="shared" si="59"/>
        <v>0</v>
      </c>
      <c r="H150" s="46">
        <f t="shared" si="59"/>
        <v>0</v>
      </c>
      <c r="I150" s="46">
        <f t="shared" si="59"/>
        <v>0</v>
      </c>
      <c r="J150" s="46">
        <f t="shared" si="59"/>
        <v>0</v>
      </c>
      <c r="K150" s="46">
        <f t="shared" si="59"/>
        <v>0</v>
      </c>
      <c r="L150" s="46">
        <f t="shared" si="59"/>
        <v>0</v>
      </c>
      <c r="M150" s="46">
        <f t="shared" si="59"/>
        <v>0</v>
      </c>
      <c r="N150" s="46">
        <f t="shared" si="59"/>
        <v>0</v>
      </c>
      <c r="O150" s="46">
        <f t="shared" si="59"/>
        <v>0</v>
      </c>
      <c r="P150" s="46">
        <f t="shared" si="59"/>
        <v>0</v>
      </c>
      <c r="Q150" s="46">
        <f t="shared" si="59"/>
        <v>0</v>
      </c>
      <c r="R150" s="46">
        <f t="shared" si="59"/>
        <v>0</v>
      </c>
      <c r="S150" s="46">
        <f t="shared" si="59"/>
        <v>0</v>
      </c>
      <c r="T150" s="46">
        <f t="shared" si="59"/>
        <v>0</v>
      </c>
      <c r="U150" s="46">
        <f t="shared" si="59"/>
        <v>0</v>
      </c>
      <c r="V150" s="46">
        <f t="shared" si="59"/>
        <v>0</v>
      </c>
      <c r="W150" s="46">
        <f t="shared" si="59"/>
        <v>0</v>
      </c>
      <c r="X150" s="46">
        <f t="shared" si="59"/>
        <v>0</v>
      </c>
      <c r="Y150" s="46">
        <f t="shared" ref="Y150" si="67">Y113-Y112</f>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7" t="s">
        <v>62</v>
      </c>
      <c r="E151" s="46">
        <f t="shared" si="61"/>
        <v>1.3212014562372226E-3</v>
      </c>
      <c r="F151" s="46">
        <f t="shared" si="61"/>
        <v>2.6413252835805617E-3</v>
      </c>
      <c r="G151" s="46">
        <f t="shared" si="59"/>
        <v>4.6906075444348161E-3</v>
      </c>
      <c r="H151" s="46">
        <f t="shared" si="59"/>
        <v>7.6345864136236896E-3</v>
      </c>
      <c r="I151" s="46">
        <f t="shared" si="59"/>
        <v>1.1598448256876948E-2</v>
      </c>
      <c r="J151" s="46">
        <f t="shared" si="59"/>
        <v>1.6630064340228401E-2</v>
      </c>
      <c r="K151" s="46">
        <f t="shared" si="59"/>
        <v>2.265022414576956E-2</v>
      </c>
      <c r="L151" s="46">
        <f t="shared" si="59"/>
        <v>2.9405167342750893E-2</v>
      </c>
      <c r="M151" s="46">
        <f t="shared" si="59"/>
        <v>3.6426857869567009E-2</v>
      </c>
      <c r="N151" s="46">
        <f t="shared" si="59"/>
        <v>4.3029822777554738E-2</v>
      </c>
      <c r="O151" s="46">
        <f t="shared" si="59"/>
        <v>4.8364958179786033E-2</v>
      </c>
      <c r="P151" s="46">
        <f t="shared" si="59"/>
        <v>5.1550909225889452E-2</v>
      </c>
      <c r="Q151" s="46">
        <f t="shared" si="59"/>
        <v>5.1871296141232204E-2</v>
      </c>
      <c r="R151" s="46">
        <f t="shared" si="59"/>
        <v>4.9001502178469325E-2</v>
      </c>
      <c r="S151" s="46">
        <f t="shared" si="59"/>
        <v>4.3178608451720724E-2</v>
      </c>
      <c r="T151" s="46">
        <f t="shared" si="59"/>
        <v>3.5227583617577718E-2</v>
      </c>
      <c r="U151" s="46">
        <f t="shared" si="59"/>
        <v>2.6392679090595506E-2</v>
      </c>
      <c r="V151" s="46">
        <f t="shared" si="59"/>
        <v>1.7992871922044462E-2</v>
      </c>
      <c r="W151" s="46">
        <f t="shared" si="59"/>
        <v>1.1051108802897947E-2</v>
      </c>
      <c r="X151" s="46">
        <f t="shared" si="59"/>
        <v>5.3147295995510657E-3</v>
      </c>
      <c r="Y151" s="46">
        <f t="shared" ref="Y151" si="68">Y114-Y113</f>
        <v>0.53147295995510646</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7" t="s">
        <v>65</v>
      </c>
      <c r="E152" s="46">
        <f t="shared" si="61"/>
        <v>0</v>
      </c>
      <c r="F152" s="46">
        <f t="shared" si="61"/>
        <v>0</v>
      </c>
      <c r="G152" s="46">
        <f t="shared" si="59"/>
        <v>0</v>
      </c>
      <c r="H152" s="46">
        <f t="shared" si="59"/>
        <v>0</v>
      </c>
      <c r="I152" s="46">
        <f t="shared" si="59"/>
        <v>0</v>
      </c>
      <c r="J152" s="46">
        <f t="shared" si="59"/>
        <v>0</v>
      </c>
      <c r="K152" s="46">
        <f t="shared" si="59"/>
        <v>0</v>
      </c>
      <c r="L152" s="46">
        <f t="shared" si="59"/>
        <v>0</v>
      </c>
      <c r="M152" s="46">
        <f t="shared" si="59"/>
        <v>0</v>
      </c>
      <c r="N152" s="46">
        <f t="shared" si="59"/>
        <v>0</v>
      </c>
      <c r="O152" s="46">
        <f t="shared" si="59"/>
        <v>0</v>
      </c>
      <c r="P152" s="46">
        <f t="shared" si="59"/>
        <v>0</v>
      </c>
      <c r="Q152" s="46">
        <f t="shared" si="59"/>
        <v>0</v>
      </c>
      <c r="R152" s="46">
        <f t="shared" si="59"/>
        <v>0</v>
      </c>
      <c r="S152" s="46">
        <f t="shared" si="59"/>
        <v>0</v>
      </c>
      <c r="T152" s="46">
        <f t="shared" si="59"/>
        <v>0</v>
      </c>
      <c r="U152" s="46">
        <f t="shared" si="59"/>
        <v>0</v>
      </c>
      <c r="V152" s="46">
        <f t="shared" si="59"/>
        <v>0</v>
      </c>
      <c r="W152" s="46">
        <f t="shared" si="59"/>
        <v>0</v>
      </c>
      <c r="X152" s="46">
        <f t="shared" si="59"/>
        <v>0</v>
      </c>
      <c r="Y152" s="46">
        <f t="shared" ref="Y152" si="69">Y115-Y114</f>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7" t="s">
        <v>68</v>
      </c>
      <c r="E153" s="46">
        <f t="shared" si="61"/>
        <v>0</v>
      </c>
      <c r="F153" s="46">
        <f t="shared" si="61"/>
        <v>0</v>
      </c>
      <c r="G153" s="46">
        <f t="shared" si="59"/>
        <v>0</v>
      </c>
      <c r="H153" s="46">
        <f t="shared" si="59"/>
        <v>0</v>
      </c>
      <c r="I153" s="46">
        <f t="shared" si="59"/>
        <v>0</v>
      </c>
      <c r="J153" s="46">
        <f t="shared" si="59"/>
        <v>0</v>
      </c>
      <c r="K153" s="46">
        <f t="shared" si="59"/>
        <v>0</v>
      </c>
      <c r="L153" s="46">
        <f t="shared" si="59"/>
        <v>0</v>
      </c>
      <c r="M153" s="46">
        <f t="shared" si="59"/>
        <v>0</v>
      </c>
      <c r="N153" s="46">
        <f t="shared" si="59"/>
        <v>0</v>
      </c>
      <c r="O153" s="46">
        <f t="shared" si="59"/>
        <v>0</v>
      </c>
      <c r="P153" s="46">
        <f t="shared" si="59"/>
        <v>0</v>
      </c>
      <c r="Q153" s="46">
        <f t="shared" si="59"/>
        <v>0</v>
      </c>
      <c r="R153" s="46">
        <f t="shared" si="59"/>
        <v>0</v>
      </c>
      <c r="S153" s="46">
        <f t="shared" si="59"/>
        <v>0</v>
      </c>
      <c r="T153" s="46">
        <f t="shared" si="59"/>
        <v>0</v>
      </c>
      <c r="U153" s="46">
        <f t="shared" si="59"/>
        <v>0</v>
      </c>
      <c r="V153" s="46">
        <f t="shared" si="59"/>
        <v>0</v>
      </c>
      <c r="W153" s="46">
        <f t="shared" si="59"/>
        <v>0</v>
      </c>
      <c r="X153" s="46">
        <f t="shared" si="59"/>
        <v>0</v>
      </c>
      <c r="Y153" s="46">
        <f t="shared" ref="Y153" si="70">Y116-Y115</f>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7" t="s">
        <v>71</v>
      </c>
      <c r="E154" s="46">
        <f t="shared" si="61"/>
        <v>0</v>
      </c>
      <c r="F154" s="46">
        <f t="shared" si="61"/>
        <v>0</v>
      </c>
      <c r="G154" s="46">
        <f t="shared" si="59"/>
        <v>0</v>
      </c>
      <c r="H154" s="46">
        <f t="shared" si="59"/>
        <v>0</v>
      </c>
      <c r="I154" s="46">
        <f t="shared" si="59"/>
        <v>0</v>
      </c>
      <c r="J154" s="46">
        <f t="shared" si="59"/>
        <v>0</v>
      </c>
      <c r="K154" s="46">
        <f t="shared" si="59"/>
        <v>0</v>
      </c>
      <c r="L154" s="46">
        <f t="shared" si="59"/>
        <v>0</v>
      </c>
      <c r="M154" s="46">
        <f t="shared" si="59"/>
        <v>0</v>
      </c>
      <c r="N154" s="46">
        <f t="shared" si="59"/>
        <v>0</v>
      </c>
      <c r="O154" s="46">
        <f t="shared" si="59"/>
        <v>0</v>
      </c>
      <c r="P154" s="46">
        <f t="shared" si="59"/>
        <v>0</v>
      </c>
      <c r="Q154" s="46">
        <f t="shared" si="59"/>
        <v>0</v>
      </c>
      <c r="R154" s="46">
        <f t="shared" si="59"/>
        <v>0</v>
      </c>
      <c r="S154" s="46">
        <f t="shared" si="59"/>
        <v>0</v>
      </c>
      <c r="T154" s="46">
        <f t="shared" si="59"/>
        <v>0</v>
      </c>
      <c r="U154" s="46">
        <f t="shared" si="59"/>
        <v>0</v>
      </c>
      <c r="V154" s="46">
        <f t="shared" si="59"/>
        <v>0</v>
      </c>
      <c r="W154" s="46">
        <f t="shared" si="59"/>
        <v>0</v>
      </c>
      <c r="X154" s="46">
        <f t="shared" si="59"/>
        <v>0</v>
      </c>
      <c r="Y154" s="46">
        <f t="shared" ref="Y154" si="71">Y117-Y116</f>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7" t="s">
        <v>74</v>
      </c>
      <c r="E155" s="46">
        <f t="shared" si="61"/>
        <v>3.9003626137243397E-3</v>
      </c>
      <c r="F155" s="46">
        <f t="shared" si="61"/>
        <v>7.7975439234701516E-3</v>
      </c>
      <c r="G155" s="46">
        <f t="shared" si="59"/>
        <v>1.3847298014695752E-2</v>
      </c>
      <c r="H155" s="46">
        <f t="shared" si="59"/>
        <v>2.2538315620505234E-2</v>
      </c>
      <c r="I155" s="46">
        <f t="shared" si="59"/>
        <v>3.4240163560807058E-2</v>
      </c>
      <c r="J155" s="46">
        <f t="shared" si="59"/>
        <v>4.9094164186881506E-2</v>
      </c>
      <c r="K155" s="46">
        <f t="shared" si="59"/>
        <v>6.6866477503165545E-2</v>
      </c>
      <c r="L155" s="46">
        <f t="shared" si="59"/>
        <v>8.6807969225686898E-2</v>
      </c>
      <c r="M155" s="46">
        <f t="shared" si="59"/>
        <v>0.10753693458266911</v>
      </c>
      <c r="N155" s="46">
        <f t="shared" si="59"/>
        <v>0.12702976616052464</v>
      </c>
      <c r="O155" s="46">
        <f t="shared" si="59"/>
        <v>0.14277979622882642</v>
      </c>
      <c r="P155" s="46">
        <f t="shared" si="59"/>
        <v>0.1521851479189209</v>
      </c>
      <c r="Q155" s="46">
        <f t="shared" si="59"/>
        <v>0.15313097275178889</v>
      </c>
      <c r="R155" s="46">
        <f t="shared" si="59"/>
        <v>0.14465895886729663</v>
      </c>
      <c r="S155" s="46">
        <f t="shared" si="59"/>
        <v>0.12746900128112948</v>
      </c>
      <c r="T155" s="46">
        <f t="shared" si="59"/>
        <v>0.10399651731020976</v>
      </c>
      <c r="U155" s="46">
        <f t="shared" si="59"/>
        <v>7.7914702799495306E-2</v>
      </c>
      <c r="V155" s="46">
        <f t="shared" si="59"/>
        <v>5.3117353623073682E-2</v>
      </c>
      <c r="W155" s="46">
        <f t="shared" si="59"/>
        <v>3.2624344615681422E-2</v>
      </c>
      <c r="X155" s="46">
        <f t="shared" si="59"/>
        <v>1.5689789421804212E-2</v>
      </c>
      <c r="Y155" s="46">
        <f t="shared" ref="Y155" si="72">Y118-Y117</f>
        <v>1.5689789421804257</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7" t="s">
        <v>77</v>
      </c>
      <c r="E156" s="46">
        <f t="shared" si="61"/>
        <v>6.2031799544226551E-5</v>
      </c>
      <c r="F156" s="46">
        <f t="shared" si="61"/>
        <v>1.2534265341407336E-4</v>
      </c>
      <c r="G156" s="46">
        <f t="shared" si="59"/>
        <v>2.2490897385979425E-4</v>
      </c>
      <c r="H156" s="46">
        <f t="shared" si="59"/>
        <v>3.6977895481515866E-4</v>
      </c>
      <c r="I156" s="46">
        <f t="shared" si="59"/>
        <v>5.6731125807485405E-4</v>
      </c>
      <c r="J156" s="46">
        <f t="shared" si="59"/>
        <v>8.1873212802818784E-4</v>
      </c>
      <c r="K156" s="46">
        <f t="shared" si="59"/>
        <v>1.1222239163574121E-3</v>
      </c>
      <c r="L156" s="46">
        <f t="shared" si="59"/>
        <v>1.4663347805190519E-3</v>
      </c>
      <c r="M156" s="46">
        <f t="shared" si="59"/>
        <v>1.828376845324442E-3</v>
      </c>
      <c r="N156" s="46">
        <f t="shared" si="59"/>
        <v>2.1740536385204123E-3</v>
      </c>
      <c r="O156" s="46">
        <f t="shared" si="59"/>
        <v>2.459809783315503E-3</v>
      </c>
      <c r="P156" s="46">
        <f t="shared" si="59"/>
        <v>2.6392627439850713E-3</v>
      </c>
      <c r="Q156" s="46">
        <f t="shared" si="59"/>
        <v>2.6733032595935846E-3</v>
      </c>
      <c r="R156" s="46">
        <f t="shared" si="59"/>
        <v>2.5421350707488521E-3</v>
      </c>
      <c r="S156" s="46">
        <f t="shared" si="59"/>
        <v>2.2548349840998405E-3</v>
      </c>
      <c r="T156" s="46">
        <f t="shared" si="59"/>
        <v>1.8516969147208684E-3</v>
      </c>
      <c r="U156" s="46">
        <f t="shared" si="59"/>
        <v>1.3963448826590508E-3</v>
      </c>
      <c r="V156" s="46">
        <f t="shared" si="59"/>
        <v>9.5809727224649421E-4</v>
      </c>
      <c r="W156" s="46">
        <f t="shared" si="59"/>
        <v>5.9222998914765235E-4</v>
      </c>
      <c r="X156" s="46">
        <f t="shared" si="59"/>
        <v>2.8662575014481995E-4</v>
      </c>
      <c r="Y156" s="46">
        <f t="shared" ref="Y156" si="73">Y119-Y118</f>
        <v>2.866257501447933E-2</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7" t="s">
        <v>80</v>
      </c>
      <c r="E157" s="46">
        <f t="shared" si="61"/>
        <v>0</v>
      </c>
      <c r="F157" s="46">
        <f t="shared" si="61"/>
        <v>0</v>
      </c>
      <c r="G157" s="46">
        <f t="shared" si="59"/>
        <v>0</v>
      </c>
      <c r="H157" s="46">
        <f t="shared" si="59"/>
        <v>0</v>
      </c>
      <c r="I157" s="46">
        <f t="shared" si="59"/>
        <v>0</v>
      </c>
      <c r="J157" s="46">
        <f t="shared" si="59"/>
        <v>0</v>
      </c>
      <c r="K157" s="46">
        <f t="shared" si="59"/>
        <v>0</v>
      </c>
      <c r="L157" s="46">
        <f t="shared" si="59"/>
        <v>0</v>
      </c>
      <c r="M157" s="46">
        <f t="shared" si="59"/>
        <v>0</v>
      </c>
      <c r="N157" s="46">
        <f t="shared" si="59"/>
        <v>0</v>
      </c>
      <c r="O157" s="46">
        <f t="shared" si="59"/>
        <v>0</v>
      </c>
      <c r="P157" s="46">
        <f t="shared" ref="P157:X160" si="74">P120-P119</f>
        <v>0</v>
      </c>
      <c r="Q157" s="46">
        <f t="shared" si="74"/>
        <v>0</v>
      </c>
      <c r="R157" s="46">
        <f t="shared" si="74"/>
        <v>0</v>
      </c>
      <c r="S157" s="46">
        <f t="shared" si="74"/>
        <v>0</v>
      </c>
      <c r="T157" s="46">
        <f t="shared" si="74"/>
        <v>0</v>
      </c>
      <c r="U157" s="46">
        <f t="shared" si="74"/>
        <v>0</v>
      </c>
      <c r="V157" s="46">
        <f t="shared" si="74"/>
        <v>0</v>
      </c>
      <c r="W157" s="46">
        <f t="shared" si="74"/>
        <v>0</v>
      </c>
      <c r="X157" s="46">
        <f t="shared" si="74"/>
        <v>0</v>
      </c>
      <c r="Y157" s="46">
        <f t="shared" ref="Y157" si="75">Y120-Y119</f>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7" t="s">
        <v>83</v>
      </c>
      <c r="E158" s="46">
        <f t="shared" si="61"/>
        <v>2.5894805156206901E-4</v>
      </c>
      <c r="F158" s="46">
        <f t="shared" si="61"/>
        <v>5.2323543920491933E-4</v>
      </c>
      <c r="G158" s="46">
        <f t="shared" si="61"/>
        <v>9.3886911209625779E-4</v>
      </c>
      <c r="H158" s="46">
        <f t="shared" si="61"/>
        <v>1.5436202167530833E-3</v>
      </c>
      <c r="I158" s="46">
        <f t="shared" si="61"/>
        <v>2.3682070484346562E-3</v>
      </c>
      <c r="J158" s="46">
        <f t="shared" si="61"/>
        <v>3.4177484912886191E-3</v>
      </c>
      <c r="K158" s="46">
        <f t="shared" si="61"/>
        <v>4.6846568807011879E-3</v>
      </c>
      <c r="L158" s="46">
        <f t="shared" si="61"/>
        <v>6.1211271822350088E-3</v>
      </c>
      <c r="M158" s="46">
        <f t="shared" si="61"/>
        <v>7.6324502125801885E-3</v>
      </c>
      <c r="N158" s="46">
        <f t="shared" si="61"/>
        <v>9.0754573915745596E-3</v>
      </c>
      <c r="O158" s="46">
        <f t="shared" si="61"/>
        <v>1.0268329393680276E-2</v>
      </c>
      <c r="P158" s="46">
        <f t="shared" si="61"/>
        <v>1.101744508682323E-2</v>
      </c>
      <c r="Q158" s="46">
        <f t="shared" si="61"/>
        <v>1.1159545191217202E-2</v>
      </c>
      <c r="R158" s="46">
        <f t="shared" si="61"/>
        <v>1.0611991401421328E-2</v>
      </c>
      <c r="S158" s="46">
        <f t="shared" si="61"/>
        <v>9.4126743060276574E-3</v>
      </c>
      <c r="T158" s="46">
        <f t="shared" si="61"/>
        <v>7.7297984529471897E-3</v>
      </c>
      <c r="U158" s="46">
        <f t="shared" si="74"/>
        <v>5.8289585233699537E-3</v>
      </c>
      <c r="V158" s="46">
        <f t="shared" si="74"/>
        <v>3.9995199829447881E-3</v>
      </c>
      <c r="W158" s="46">
        <f t="shared" si="74"/>
        <v>2.4722288067279274E-3</v>
      </c>
      <c r="X158" s="46">
        <f t="shared" si="74"/>
        <v>1.1965021178308166E-3</v>
      </c>
      <c r="Y158" s="46">
        <f t="shared" ref="Y158" si="76">Y121-Y120</f>
        <v>0.11965021178308177</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7" t="s">
        <v>86</v>
      </c>
      <c r="E159" s="46">
        <f t="shared" si="61"/>
        <v>0</v>
      </c>
      <c r="F159" s="46">
        <f t="shared" si="61"/>
        <v>0</v>
      </c>
      <c r="G159" s="46">
        <f t="shared" si="61"/>
        <v>0</v>
      </c>
      <c r="H159" s="46">
        <f t="shared" si="61"/>
        <v>0</v>
      </c>
      <c r="I159" s="46">
        <f t="shared" si="61"/>
        <v>0</v>
      </c>
      <c r="J159" s="46">
        <f t="shared" si="61"/>
        <v>0</v>
      </c>
      <c r="K159" s="46">
        <f t="shared" si="61"/>
        <v>0</v>
      </c>
      <c r="L159" s="46">
        <f t="shared" si="61"/>
        <v>0</v>
      </c>
      <c r="M159" s="46">
        <f t="shared" si="61"/>
        <v>0</v>
      </c>
      <c r="N159" s="46">
        <f t="shared" si="61"/>
        <v>0</v>
      </c>
      <c r="O159" s="46">
        <f t="shared" si="61"/>
        <v>0</v>
      </c>
      <c r="P159" s="46">
        <f t="shared" si="61"/>
        <v>0</v>
      </c>
      <c r="Q159" s="46">
        <f t="shared" si="61"/>
        <v>0</v>
      </c>
      <c r="R159" s="46">
        <f t="shared" si="61"/>
        <v>0</v>
      </c>
      <c r="S159" s="46">
        <f t="shared" si="61"/>
        <v>0</v>
      </c>
      <c r="T159" s="46">
        <f t="shared" si="61"/>
        <v>0</v>
      </c>
      <c r="U159" s="46">
        <f t="shared" si="74"/>
        <v>0</v>
      </c>
      <c r="V159" s="46">
        <f t="shared" si="74"/>
        <v>0</v>
      </c>
      <c r="W159" s="46">
        <f t="shared" si="74"/>
        <v>0</v>
      </c>
      <c r="X159" s="46">
        <f t="shared" si="74"/>
        <v>0</v>
      </c>
      <c r="Y159" s="46">
        <f t="shared" ref="Y159" si="77">Y122-Y121</f>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7" t="s">
        <v>89</v>
      </c>
      <c r="E160" s="46">
        <f t="shared" si="61"/>
        <v>0</v>
      </c>
      <c r="F160" s="46">
        <f t="shared" si="61"/>
        <v>0</v>
      </c>
      <c r="G160" s="46">
        <f t="shared" si="61"/>
        <v>0</v>
      </c>
      <c r="H160" s="46">
        <f t="shared" si="61"/>
        <v>0</v>
      </c>
      <c r="I160" s="46">
        <f t="shared" si="61"/>
        <v>0</v>
      </c>
      <c r="J160" s="46">
        <f t="shared" si="61"/>
        <v>0</v>
      </c>
      <c r="K160" s="46">
        <f t="shared" si="61"/>
        <v>0</v>
      </c>
      <c r="L160" s="46">
        <f t="shared" si="61"/>
        <v>0</v>
      </c>
      <c r="M160" s="46">
        <f t="shared" si="61"/>
        <v>0</v>
      </c>
      <c r="N160" s="46">
        <f t="shared" si="61"/>
        <v>0</v>
      </c>
      <c r="O160" s="46">
        <f t="shared" si="61"/>
        <v>0</v>
      </c>
      <c r="P160" s="46">
        <f t="shared" si="61"/>
        <v>0</v>
      </c>
      <c r="Q160" s="46">
        <f t="shared" si="61"/>
        <v>0</v>
      </c>
      <c r="R160" s="46">
        <f t="shared" si="61"/>
        <v>0</v>
      </c>
      <c r="S160" s="46">
        <f t="shared" si="61"/>
        <v>0</v>
      </c>
      <c r="T160" s="46">
        <f t="shared" si="61"/>
        <v>0</v>
      </c>
      <c r="U160" s="46">
        <f t="shared" si="74"/>
        <v>0</v>
      </c>
      <c r="V160" s="46">
        <f t="shared" si="74"/>
        <v>0</v>
      </c>
      <c r="W160" s="46">
        <f t="shared" si="74"/>
        <v>0</v>
      </c>
      <c r="X160" s="46">
        <f t="shared" si="74"/>
        <v>0</v>
      </c>
      <c r="Y160" s="46">
        <f t="shared" ref="Y160" si="78">Y123-Y122</f>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7" t="s">
        <v>92</v>
      </c>
      <c r="E161" s="46">
        <f t="shared" ref="E161:Y161" si="79">E124-E123</f>
        <v>0</v>
      </c>
      <c r="F161" s="46">
        <f t="shared" si="79"/>
        <v>0</v>
      </c>
      <c r="G161" s="46">
        <f t="shared" si="79"/>
        <v>0</v>
      </c>
      <c r="H161" s="46">
        <f t="shared" si="79"/>
        <v>0</v>
      </c>
      <c r="I161" s="46">
        <f t="shared" si="79"/>
        <v>0</v>
      </c>
      <c r="J161" s="46">
        <f t="shared" si="79"/>
        <v>0</v>
      </c>
      <c r="K161" s="46">
        <f t="shared" si="79"/>
        <v>0</v>
      </c>
      <c r="L161" s="46">
        <f t="shared" si="79"/>
        <v>0</v>
      </c>
      <c r="M161" s="46">
        <f t="shared" si="79"/>
        <v>0</v>
      </c>
      <c r="N161" s="46">
        <f t="shared" si="79"/>
        <v>0</v>
      </c>
      <c r="O161" s="46">
        <f t="shared" si="79"/>
        <v>0</v>
      </c>
      <c r="P161" s="46">
        <f t="shared" si="79"/>
        <v>0</v>
      </c>
      <c r="Q161" s="46">
        <f t="shared" si="79"/>
        <v>0</v>
      </c>
      <c r="R161" s="46">
        <f t="shared" si="79"/>
        <v>0</v>
      </c>
      <c r="S161" s="46">
        <f t="shared" si="79"/>
        <v>0</v>
      </c>
      <c r="T161" s="46">
        <f t="shared" si="79"/>
        <v>0</v>
      </c>
      <c r="U161" s="46">
        <f t="shared" si="79"/>
        <v>0</v>
      </c>
      <c r="V161" s="46">
        <f t="shared" si="79"/>
        <v>0</v>
      </c>
      <c r="W161" s="46">
        <f t="shared" si="79"/>
        <v>0</v>
      </c>
      <c r="X161" s="46">
        <f t="shared" si="79"/>
        <v>0</v>
      </c>
      <c r="Y161" s="46">
        <f t="shared" si="79"/>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7" t="s">
        <v>95</v>
      </c>
      <c r="E162" s="46">
        <f t="shared" ref="E162:Y162" si="80">E125-E124</f>
        <v>0</v>
      </c>
      <c r="F162" s="46">
        <f t="shared" si="80"/>
        <v>0</v>
      </c>
      <c r="G162" s="46">
        <f t="shared" si="80"/>
        <v>0</v>
      </c>
      <c r="H162" s="46">
        <f t="shared" si="80"/>
        <v>0</v>
      </c>
      <c r="I162" s="46">
        <f t="shared" si="80"/>
        <v>0</v>
      </c>
      <c r="J162" s="46">
        <f t="shared" si="80"/>
        <v>0</v>
      </c>
      <c r="K162" s="46">
        <f t="shared" si="80"/>
        <v>0</v>
      </c>
      <c r="L162" s="46">
        <f t="shared" si="80"/>
        <v>0</v>
      </c>
      <c r="M162" s="46">
        <f t="shared" si="80"/>
        <v>0</v>
      </c>
      <c r="N162" s="46">
        <f t="shared" si="80"/>
        <v>0</v>
      </c>
      <c r="O162" s="46">
        <f t="shared" si="80"/>
        <v>0</v>
      </c>
      <c r="P162" s="46">
        <f t="shared" si="80"/>
        <v>0</v>
      </c>
      <c r="Q162" s="46">
        <f t="shared" si="80"/>
        <v>0</v>
      </c>
      <c r="R162" s="46">
        <f t="shared" si="80"/>
        <v>0</v>
      </c>
      <c r="S162" s="46">
        <f t="shared" si="80"/>
        <v>0</v>
      </c>
      <c r="T162" s="46">
        <f t="shared" si="80"/>
        <v>0</v>
      </c>
      <c r="U162" s="46">
        <f t="shared" si="80"/>
        <v>0</v>
      </c>
      <c r="V162" s="46">
        <f t="shared" si="80"/>
        <v>0</v>
      </c>
      <c r="W162" s="46">
        <f t="shared" si="80"/>
        <v>0</v>
      </c>
      <c r="X162" s="46">
        <f t="shared" si="80"/>
        <v>0</v>
      </c>
      <c r="Y162" s="46">
        <f t="shared" si="80"/>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7" t="s">
        <v>98</v>
      </c>
      <c r="E163" s="46">
        <f t="shared" ref="E163:Y163" si="81">E126-E125</f>
        <v>0</v>
      </c>
      <c r="F163" s="46">
        <f t="shared" si="81"/>
        <v>0</v>
      </c>
      <c r="G163" s="46">
        <f t="shared" si="81"/>
        <v>0</v>
      </c>
      <c r="H163" s="46">
        <f t="shared" si="81"/>
        <v>0</v>
      </c>
      <c r="I163" s="46">
        <f t="shared" si="81"/>
        <v>0</v>
      </c>
      <c r="J163" s="46">
        <f t="shared" si="81"/>
        <v>0</v>
      </c>
      <c r="K163" s="46">
        <f t="shared" si="81"/>
        <v>0</v>
      </c>
      <c r="L163" s="46">
        <f t="shared" si="81"/>
        <v>0</v>
      </c>
      <c r="M163" s="46">
        <f t="shared" si="81"/>
        <v>0</v>
      </c>
      <c r="N163" s="46">
        <f t="shared" si="81"/>
        <v>0</v>
      </c>
      <c r="O163" s="46">
        <f t="shared" si="81"/>
        <v>0</v>
      </c>
      <c r="P163" s="46">
        <f t="shared" si="81"/>
        <v>0</v>
      </c>
      <c r="Q163" s="46">
        <f t="shared" si="81"/>
        <v>0</v>
      </c>
      <c r="R163" s="46">
        <f t="shared" si="81"/>
        <v>0</v>
      </c>
      <c r="S163" s="46">
        <f t="shared" si="81"/>
        <v>0</v>
      </c>
      <c r="T163" s="46">
        <f t="shared" si="81"/>
        <v>0</v>
      </c>
      <c r="U163" s="46">
        <f t="shared" si="81"/>
        <v>0</v>
      </c>
      <c r="V163" s="46">
        <f t="shared" si="81"/>
        <v>0</v>
      </c>
      <c r="W163" s="46">
        <f t="shared" si="81"/>
        <v>0</v>
      </c>
      <c r="X163" s="46">
        <f t="shared" si="81"/>
        <v>0</v>
      </c>
      <c r="Y163" s="46">
        <f t="shared" si="81"/>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7" t="s">
        <v>501</v>
      </c>
      <c r="E164" s="46">
        <f t="shared" ref="E164:X164" si="82">E127-E126</f>
        <v>3.3474735370784339E-3</v>
      </c>
      <c r="F164" s="46">
        <f t="shared" si="82"/>
        <v>6.7590355243284383E-3</v>
      </c>
      <c r="G164" s="46">
        <f t="shared" si="82"/>
        <v>1.2121694056260707E-2</v>
      </c>
      <c r="H164" s="46">
        <f t="shared" si="82"/>
        <v>1.9937977734388823E-2</v>
      </c>
      <c r="I164" s="46">
        <f t="shared" si="82"/>
        <v>3.0862368008053975E-2</v>
      </c>
      <c r="J164" s="46">
        <f t="shared" si="82"/>
        <v>4.4735407976518204E-2</v>
      </c>
      <c r="K164" s="46">
        <f t="shared" si="82"/>
        <v>6.1587228353742973E-2</v>
      </c>
      <c r="L164" s="46">
        <f t="shared" si="82"/>
        <v>8.0863071644139861E-2</v>
      </c>
      <c r="M164" s="46">
        <f t="shared" si="82"/>
        <v>0.10122031272708054</v>
      </c>
      <c r="N164" s="46">
        <f t="shared" si="82"/>
        <v>0.12191236276888628</v>
      </c>
      <c r="O164" s="46">
        <f t="shared" si="82"/>
        <v>0.13840051767800743</v>
      </c>
      <c r="P164" s="46">
        <f t="shared" si="82"/>
        <v>0.14897116995903303</v>
      </c>
      <c r="Q164" s="46">
        <f t="shared" si="82"/>
        <v>0.15124767394858951</v>
      </c>
      <c r="R164" s="46">
        <f t="shared" si="82"/>
        <v>0.14424304479298478</v>
      </c>
      <c r="S164" s="46">
        <f t="shared" si="82"/>
        <v>0.12931054930458141</v>
      </c>
      <c r="T164" s="46">
        <f t="shared" si="82"/>
        <v>0.10653013241664788</v>
      </c>
      <c r="U164" s="46">
        <f t="shared" si="82"/>
        <v>8.063060161187785E-2</v>
      </c>
      <c r="V164" s="46">
        <f t="shared" si="82"/>
        <v>5.5521745144789247E-2</v>
      </c>
      <c r="W164" s="46">
        <f t="shared" si="82"/>
        <v>3.4416392328757039E-2</v>
      </c>
      <c r="X164" s="46">
        <f t="shared" si="82"/>
        <v>1.6855598336961292E-2</v>
      </c>
      <c r="Y164" s="46">
        <f t="shared" ref="Y164" si="83">Y127-Y126</f>
        <v>1.6855598336961286</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7" t="s">
        <v>503</v>
      </c>
      <c r="E165" s="46">
        <f t="shared" ref="E165:X165" si="84">E128-E127</f>
        <v>0</v>
      </c>
      <c r="F165" s="46">
        <f t="shared" si="84"/>
        <v>0</v>
      </c>
      <c r="G165" s="46">
        <f t="shared" si="84"/>
        <v>0</v>
      </c>
      <c r="H165" s="46">
        <f t="shared" si="84"/>
        <v>0</v>
      </c>
      <c r="I165" s="46">
        <f t="shared" si="84"/>
        <v>0</v>
      </c>
      <c r="J165" s="46">
        <f t="shared" si="84"/>
        <v>0</v>
      </c>
      <c r="K165" s="46">
        <f t="shared" si="84"/>
        <v>0</v>
      </c>
      <c r="L165" s="46">
        <f t="shared" si="84"/>
        <v>0</v>
      </c>
      <c r="M165" s="46">
        <f t="shared" si="84"/>
        <v>0</v>
      </c>
      <c r="N165" s="46">
        <f t="shared" si="84"/>
        <v>0</v>
      </c>
      <c r="O165" s="46">
        <f t="shared" si="84"/>
        <v>0</v>
      </c>
      <c r="P165" s="46">
        <f t="shared" si="84"/>
        <v>0</v>
      </c>
      <c r="Q165" s="46">
        <f t="shared" si="84"/>
        <v>0</v>
      </c>
      <c r="R165" s="46">
        <f t="shared" si="84"/>
        <v>0</v>
      </c>
      <c r="S165" s="46">
        <f t="shared" si="84"/>
        <v>0</v>
      </c>
      <c r="T165" s="46">
        <f t="shared" si="84"/>
        <v>0</v>
      </c>
      <c r="U165" s="46">
        <f t="shared" si="84"/>
        <v>0</v>
      </c>
      <c r="V165" s="46">
        <f t="shared" si="84"/>
        <v>0</v>
      </c>
      <c r="W165" s="46">
        <f t="shared" si="84"/>
        <v>0</v>
      </c>
      <c r="X165" s="46">
        <f t="shared" si="84"/>
        <v>0</v>
      </c>
      <c r="Y165" s="46">
        <f t="shared" ref="Y165" si="85">Y128-Y127</f>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7" t="s">
        <v>506</v>
      </c>
      <c r="E166" s="46">
        <f t="shared" ref="E166:X166" si="86">E129-E128</f>
        <v>0</v>
      </c>
      <c r="F166" s="46">
        <f t="shared" si="86"/>
        <v>0</v>
      </c>
      <c r="G166" s="46">
        <f t="shared" si="86"/>
        <v>0</v>
      </c>
      <c r="H166" s="46">
        <f t="shared" si="86"/>
        <v>0</v>
      </c>
      <c r="I166" s="46">
        <f t="shared" si="86"/>
        <v>0</v>
      </c>
      <c r="J166" s="46">
        <f t="shared" si="86"/>
        <v>0</v>
      </c>
      <c r="K166" s="46">
        <f t="shared" si="86"/>
        <v>0</v>
      </c>
      <c r="L166" s="46">
        <f t="shared" si="86"/>
        <v>0</v>
      </c>
      <c r="M166" s="46">
        <f t="shared" si="86"/>
        <v>0</v>
      </c>
      <c r="N166" s="46">
        <f t="shared" si="86"/>
        <v>0</v>
      </c>
      <c r="O166" s="46">
        <f t="shared" si="86"/>
        <v>0</v>
      </c>
      <c r="P166" s="46">
        <f t="shared" si="86"/>
        <v>0</v>
      </c>
      <c r="Q166" s="46">
        <f t="shared" si="86"/>
        <v>0</v>
      </c>
      <c r="R166" s="46">
        <f t="shared" si="86"/>
        <v>0</v>
      </c>
      <c r="S166" s="46">
        <f t="shared" si="86"/>
        <v>0</v>
      </c>
      <c r="T166" s="46">
        <f t="shared" si="86"/>
        <v>0</v>
      </c>
      <c r="U166" s="46">
        <f t="shared" si="86"/>
        <v>0</v>
      </c>
      <c r="V166" s="46">
        <f t="shared" si="86"/>
        <v>0</v>
      </c>
      <c r="W166" s="46">
        <f t="shared" si="86"/>
        <v>0</v>
      </c>
      <c r="X166" s="46">
        <f t="shared" si="86"/>
        <v>0</v>
      </c>
      <c r="Y166" s="46">
        <f t="shared" ref="Y166" si="87">Y129-Y128</f>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D167" s="7" t="s">
        <v>509</v>
      </c>
      <c r="E167" s="46">
        <f t="shared" ref="E167:X167" si="88">E130-E129</f>
        <v>0</v>
      </c>
      <c r="F167" s="46">
        <f t="shared" si="88"/>
        <v>0</v>
      </c>
      <c r="G167" s="46">
        <f t="shared" si="88"/>
        <v>0</v>
      </c>
      <c r="H167" s="46">
        <f t="shared" si="88"/>
        <v>0</v>
      </c>
      <c r="I167" s="46">
        <f t="shared" si="88"/>
        <v>0</v>
      </c>
      <c r="J167" s="46">
        <f t="shared" si="88"/>
        <v>0</v>
      </c>
      <c r="K167" s="46">
        <f t="shared" si="88"/>
        <v>0</v>
      </c>
      <c r="L167" s="46">
        <f t="shared" si="88"/>
        <v>0</v>
      </c>
      <c r="M167" s="46">
        <f t="shared" si="88"/>
        <v>0</v>
      </c>
      <c r="N167" s="46">
        <f t="shared" si="88"/>
        <v>0</v>
      </c>
      <c r="O167" s="46">
        <f t="shared" si="88"/>
        <v>0</v>
      </c>
      <c r="P167" s="46">
        <f t="shared" si="88"/>
        <v>0</v>
      </c>
      <c r="Q167" s="46">
        <f t="shared" si="88"/>
        <v>0</v>
      </c>
      <c r="R167" s="46">
        <f t="shared" si="88"/>
        <v>0</v>
      </c>
      <c r="S167" s="46">
        <f t="shared" si="88"/>
        <v>0</v>
      </c>
      <c r="T167" s="46">
        <f t="shared" si="88"/>
        <v>0</v>
      </c>
      <c r="U167" s="46">
        <f t="shared" si="88"/>
        <v>0</v>
      </c>
      <c r="V167" s="46">
        <f t="shared" si="88"/>
        <v>0</v>
      </c>
      <c r="W167" s="46">
        <f t="shared" si="88"/>
        <v>0</v>
      </c>
      <c r="X167" s="46">
        <f t="shared" si="88"/>
        <v>0</v>
      </c>
      <c r="Y167" s="46">
        <f t="shared" ref="Y167" si="89">Y130-Y129</f>
        <v>0</v>
      </c>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c r="D168" s="7" t="s">
        <v>512</v>
      </c>
      <c r="E168" s="46">
        <f t="shared" ref="E168:X168" si="90">E131-E130</f>
        <v>0</v>
      </c>
      <c r="F168" s="46">
        <f t="shared" si="90"/>
        <v>0</v>
      </c>
      <c r="G168" s="46">
        <f t="shared" si="90"/>
        <v>0</v>
      </c>
      <c r="H168" s="46">
        <f t="shared" si="90"/>
        <v>0</v>
      </c>
      <c r="I168" s="46">
        <f t="shared" si="90"/>
        <v>0</v>
      </c>
      <c r="J168" s="46">
        <f t="shared" si="90"/>
        <v>0</v>
      </c>
      <c r="K168" s="46">
        <f t="shared" si="90"/>
        <v>0</v>
      </c>
      <c r="L168" s="46">
        <f t="shared" si="90"/>
        <v>0</v>
      </c>
      <c r="M168" s="46">
        <f t="shared" si="90"/>
        <v>0</v>
      </c>
      <c r="N168" s="46">
        <f t="shared" si="90"/>
        <v>0</v>
      </c>
      <c r="O168" s="46">
        <f t="shared" si="90"/>
        <v>0</v>
      </c>
      <c r="P168" s="46">
        <f t="shared" si="90"/>
        <v>0</v>
      </c>
      <c r="Q168" s="46">
        <f t="shared" si="90"/>
        <v>0</v>
      </c>
      <c r="R168" s="46">
        <f t="shared" si="90"/>
        <v>0</v>
      </c>
      <c r="S168" s="46">
        <f t="shared" si="90"/>
        <v>0</v>
      </c>
      <c r="T168" s="46">
        <f t="shared" si="90"/>
        <v>0</v>
      </c>
      <c r="U168" s="46">
        <f t="shared" si="90"/>
        <v>0</v>
      </c>
      <c r="V168" s="46">
        <f t="shared" si="90"/>
        <v>0</v>
      </c>
      <c r="W168" s="46">
        <f t="shared" si="90"/>
        <v>0</v>
      </c>
      <c r="X168" s="46">
        <f t="shared" si="90"/>
        <v>0</v>
      </c>
      <c r="Y168" s="46">
        <f t="shared" ref="Y168" si="91">Y131-Y130</f>
        <v>0</v>
      </c>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c r="D169" s="7" t="s">
        <v>515</v>
      </c>
      <c r="E169" s="46">
        <f t="shared" ref="E169:X169" si="92">E132-E131</f>
        <v>0</v>
      </c>
      <c r="F169" s="46">
        <f t="shared" si="92"/>
        <v>0</v>
      </c>
      <c r="G169" s="46">
        <f t="shared" si="92"/>
        <v>0</v>
      </c>
      <c r="H169" s="46">
        <f t="shared" si="92"/>
        <v>0</v>
      </c>
      <c r="I169" s="46">
        <f t="shared" si="92"/>
        <v>0</v>
      </c>
      <c r="J169" s="46">
        <f t="shared" si="92"/>
        <v>0</v>
      </c>
      <c r="K169" s="46">
        <f t="shared" si="92"/>
        <v>0</v>
      </c>
      <c r="L169" s="46">
        <f t="shared" si="92"/>
        <v>0</v>
      </c>
      <c r="M169" s="46">
        <f t="shared" si="92"/>
        <v>0</v>
      </c>
      <c r="N169" s="46">
        <f t="shared" si="92"/>
        <v>0</v>
      </c>
      <c r="O169" s="46">
        <f t="shared" si="92"/>
        <v>0</v>
      </c>
      <c r="P169" s="46">
        <f t="shared" si="92"/>
        <v>0</v>
      </c>
      <c r="Q169" s="46">
        <f t="shared" si="92"/>
        <v>0</v>
      </c>
      <c r="R169" s="46">
        <f t="shared" si="92"/>
        <v>0</v>
      </c>
      <c r="S169" s="46">
        <f t="shared" si="92"/>
        <v>0</v>
      </c>
      <c r="T169" s="46">
        <f t="shared" si="92"/>
        <v>0</v>
      </c>
      <c r="U169" s="46">
        <f t="shared" si="92"/>
        <v>0</v>
      </c>
      <c r="V169" s="46">
        <f t="shared" si="92"/>
        <v>0</v>
      </c>
      <c r="W169" s="46">
        <f t="shared" si="92"/>
        <v>0</v>
      </c>
      <c r="X169" s="46">
        <f t="shared" si="92"/>
        <v>0</v>
      </c>
      <c r="Y169" s="46">
        <f t="shared" ref="Y169" si="93">Y132-Y131</f>
        <v>0</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D170" s="7" t="s">
        <v>518</v>
      </c>
      <c r="E170" s="46">
        <f t="shared" ref="E170:X170" si="94">E133-E132</f>
        <v>0</v>
      </c>
      <c r="F170" s="46">
        <f t="shared" si="94"/>
        <v>0</v>
      </c>
      <c r="G170" s="46">
        <f t="shared" si="94"/>
        <v>0</v>
      </c>
      <c r="H170" s="46">
        <f t="shared" si="94"/>
        <v>0</v>
      </c>
      <c r="I170" s="46">
        <f t="shared" si="94"/>
        <v>0</v>
      </c>
      <c r="J170" s="46">
        <f t="shared" si="94"/>
        <v>0</v>
      </c>
      <c r="K170" s="46">
        <f t="shared" si="94"/>
        <v>0</v>
      </c>
      <c r="L170" s="46">
        <f t="shared" si="94"/>
        <v>0</v>
      </c>
      <c r="M170" s="46">
        <f t="shared" si="94"/>
        <v>0</v>
      </c>
      <c r="N170" s="46">
        <f t="shared" si="94"/>
        <v>0</v>
      </c>
      <c r="O170" s="46">
        <f t="shared" si="94"/>
        <v>0</v>
      </c>
      <c r="P170" s="46">
        <f t="shared" si="94"/>
        <v>0</v>
      </c>
      <c r="Q170" s="46">
        <f t="shared" si="94"/>
        <v>0</v>
      </c>
      <c r="R170" s="46">
        <f t="shared" si="94"/>
        <v>0</v>
      </c>
      <c r="S170" s="46">
        <f t="shared" si="94"/>
        <v>0</v>
      </c>
      <c r="T170" s="46">
        <f t="shared" si="94"/>
        <v>0</v>
      </c>
      <c r="U170" s="46">
        <f t="shared" si="94"/>
        <v>0</v>
      </c>
      <c r="V170" s="46">
        <f t="shared" si="94"/>
        <v>0</v>
      </c>
      <c r="W170" s="46">
        <f t="shared" si="94"/>
        <v>0</v>
      </c>
      <c r="X170" s="46">
        <f t="shared" si="94"/>
        <v>0</v>
      </c>
      <c r="Y170" s="46">
        <f t="shared" ref="Y170" si="95">Y133-Y132</f>
        <v>0</v>
      </c>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D171" s="7" t="s">
        <v>521</v>
      </c>
      <c r="E171" s="46">
        <f t="shared" ref="E171:X171" si="96">E134-E133</f>
        <v>0</v>
      </c>
      <c r="F171" s="46">
        <f t="shared" si="96"/>
        <v>0</v>
      </c>
      <c r="G171" s="46">
        <f t="shared" si="96"/>
        <v>0</v>
      </c>
      <c r="H171" s="46">
        <f t="shared" si="96"/>
        <v>0</v>
      </c>
      <c r="I171" s="46">
        <f t="shared" si="96"/>
        <v>0</v>
      </c>
      <c r="J171" s="46">
        <f t="shared" si="96"/>
        <v>0</v>
      </c>
      <c r="K171" s="46">
        <f t="shared" si="96"/>
        <v>0</v>
      </c>
      <c r="L171" s="46">
        <f t="shared" si="96"/>
        <v>0</v>
      </c>
      <c r="M171" s="46">
        <f t="shared" si="96"/>
        <v>0</v>
      </c>
      <c r="N171" s="46">
        <f t="shared" si="96"/>
        <v>0</v>
      </c>
      <c r="O171" s="46">
        <f t="shared" si="96"/>
        <v>0</v>
      </c>
      <c r="P171" s="46">
        <f t="shared" si="96"/>
        <v>0</v>
      </c>
      <c r="Q171" s="46">
        <f t="shared" si="96"/>
        <v>0</v>
      </c>
      <c r="R171" s="46">
        <f t="shared" si="96"/>
        <v>0</v>
      </c>
      <c r="S171" s="46">
        <f t="shared" si="96"/>
        <v>0</v>
      </c>
      <c r="T171" s="46">
        <f t="shared" si="96"/>
        <v>0</v>
      </c>
      <c r="U171" s="46">
        <f t="shared" si="96"/>
        <v>0</v>
      </c>
      <c r="V171" s="46">
        <f t="shared" si="96"/>
        <v>0</v>
      </c>
      <c r="W171" s="46">
        <f t="shared" si="96"/>
        <v>0</v>
      </c>
      <c r="X171" s="46">
        <f t="shared" si="96"/>
        <v>0</v>
      </c>
      <c r="Y171" s="46">
        <f t="shared" ref="Y171" si="97">Y134-Y133</f>
        <v>0</v>
      </c>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c r="D172" s="7" t="s">
        <v>524</v>
      </c>
      <c r="E172" s="46">
        <f t="shared" ref="E172:X172" si="98">E135-E134</f>
        <v>0</v>
      </c>
      <c r="F172" s="46">
        <f t="shared" si="98"/>
        <v>0</v>
      </c>
      <c r="G172" s="46">
        <f t="shared" si="98"/>
        <v>0</v>
      </c>
      <c r="H172" s="46">
        <f t="shared" si="98"/>
        <v>0</v>
      </c>
      <c r="I172" s="46">
        <f t="shared" si="98"/>
        <v>0</v>
      </c>
      <c r="J172" s="46">
        <f t="shared" si="98"/>
        <v>0</v>
      </c>
      <c r="K172" s="46">
        <f t="shared" si="98"/>
        <v>0</v>
      </c>
      <c r="L172" s="46">
        <f t="shared" si="98"/>
        <v>0</v>
      </c>
      <c r="M172" s="46">
        <f t="shared" si="98"/>
        <v>0</v>
      </c>
      <c r="N172" s="46">
        <f t="shared" si="98"/>
        <v>0</v>
      </c>
      <c r="O172" s="46">
        <f t="shared" si="98"/>
        <v>0</v>
      </c>
      <c r="P172" s="46">
        <f t="shared" si="98"/>
        <v>0</v>
      </c>
      <c r="Q172" s="46">
        <f t="shared" si="98"/>
        <v>0</v>
      </c>
      <c r="R172" s="46">
        <f t="shared" si="98"/>
        <v>0</v>
      </c>
      <c r="S172" s="46">
        <f t="shared" si="98"/>
        <v>0</v>
      </c>
      <c r="T172" s="46">
        <f t="shared" si="98"/>
        <v>0</v>
      </c>
      <c r="U172" s="46">
        <f t="shared" si="98"/>
        <v>0</v>
      </c>
      <c r="V172" s="46">
        <f t="shared" si="98"/>
        <v>0</v>
      </c>
      <c r="W172" s="46">
        <f t="shared" si="98"/>
        <v>0</v>
      </c>
      <c r="X172" s="46">
        <f t="shared" si="98"/>
        <v>0</v>
      </c>
      <c r="Y172" s="46">
        <f t="shared" ref="Y172" si="99">Y135-Y134</f>
        <v>0</v>
      </c>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row>
    <row r="173" spans="4:79">
      <c r="D173" s="7" t="s">
        <v>527</v>
      </c>
      <c r="E173" s="46">
        <f t="shared" ref="E173:X173" si="100">E136-E135</f>
        <v>0</v>
      </c>
      <c r="F173" s="46">
        <f t="shared" si="100"/>
        <v>0</v>
      </c>
      <c r="G173" s="46">
        <f t="shared" si="100"/>
        <v>0</v>
      </c>
      <c r="H173" s="46">
        <f t="shared" si="100"/>
        <v>0</v>
      </c>
      <c r="I173" s="46">
        <f t="shared" si="100"/>
        <v>0</v>
      </c>
      <c r="J173" s="46">
        <f t="shared" si="100"/>
        <v>0</v>
      </c>
      <c r="K173" s="46">
        <f t="shared" si="100"/>
        <v>0</v>
      </c>
      <c r="L173" s="46">
        <f t="shared" si="100"/>
        <v>0</v>
      </c>
      <c r="M173" s="46">
        <f t="shared" si="100"/>
        <v>0</v>
      </c>
      <c r="N173" s="46">
        <f t="shared" si="100"/>
        <v>0</v>
      </c>
      <c r="O173" s="46">
        <f t="shared" si="100"/>
        <v>0</v>
      </c>
      <c r="P173" s="46">
        <f t="shared" si="100"/>
        <v>0</v>
      </c>
      <c r="Q173" s="46">
        <f t="shared" si="100"/>
        <v>0</v>
      </c>
      <c r="R173" s="46">
        <f t="shared" si="100"/>
        <v>0</v>
      </c>
      <c r="S173" s="46">
        <f t="shared" si="100"/>
        <v>0</v>
      </c>
      <c r="T173" s="46">
        <f t="shared" si="100"/>
        <v>0</v>
      </c>
      <c r="U173" s="46">
        <f t="shared" si="100"/>
        <v>0</v>
      </c>
      <c r="V173" s="46">
        <f t="shared" si="100"/>
        <v>0</v>
      </c>
      <c r="W173" s="46">
        <f t="shared" si="100"/>
        <v>0</v>
      </c>
      <c r="X173" s="46">
        <f t="shared" si="100"/>
        <v>0</v>
      </c>
      <c r="Y173" s="46">
        <f t="shared" ref="Y173" si="101">Y136-Y135</f>
        <v>0</v>
      </c>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row>
    <row r="174" spans="4:79">
      <c r="D174" s="7" t="s">
        <v>530</v>
      </c>
      <c r="E174" s="46">
        <f t="shared" ref="E174:X174" si="102">E137-E136</f>
        <v>0</v>
      </c>
      <c r="F174" s="46">
        <f t="shared" si="102"/>
        <v>0</v>
      </c>
      <c r="G174" s="46">
        <f t="shared" si="102"/>
        <v>0</v>
      </c>
      <c r="H174" s="46">
        <f t="shared" si="102"/>
        <v>0</v>
      </c>
      <c r="I174" s="46">
        <f t="shared" si="102"/>
        <v>0</v>
      </c>
      <c r="J174" s="46">
        <f t="shared" si="102"/>
        <v>0</v>
      </c>
      <c r="K174" s="46">
        <f t="shared" si="102"/>
        <v>0</v>
      </c>
      <c r="L174" s="46">
        <f t="shared" si="102"/>
        <v>0</v>
      </c>
      <c r="M174" s="46">
        <f t="shared" si="102"/>
        <v>0</v>
      </c>
      <c r="N174" s="46">
        <f t="shared" si="102"/>
        <v>0</v>
      </c>
      <c r="O174" s="46">
        <f t="shared" si="102"/>
        <v>0</v>
      </c>
      <c r="P174" s="46">
        <f t="shared" si="102"/>
        <v>0</v>
      </c>
      <c r="Q174" s="46">
        <f t="shared" si="102"/>
        <v>0</v>
      </c>
      <c r="R174" s="46">
        <f t="shared" si="102"/>
        <v>0</v>
      </c>
      <c r="S174" s="46">
        <f t="shared" si="102"/>
        <v>0</v>
      </c>
      <c r="T174" s="46">
        <f t="shared" si="102"/>
        <v>0</v>
      </c>
      <c r="U174" s="46">
        <f t="shared" si="102"/>
        <v>0</v>
      </c>
      <c r="V174" s="46">
        <f t="shared" si="102"/>
        <v>0</v>
      </c>
      <c r="W174" s="46">
        <f t="shared" si="102"/>
        <v>0</v>
      </c>
      <c r="X174" s="46">
        <f t="shared" si="102"/>
        <v>0</v>
      </c>
      <c r="Y174" s="46">
        <f t="shared" ref="Y174" si="103">Y137-Y136</f>
        <v>0</v>
      </c>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row>
    <row r="175" spans="4:79">
      <c r="E175" s="46"/>
      <c r="F175" s="46"/>
      <c r="G175" s="46"/>
      <c r="H175" s="46"/>
      <c r="I175" s="46"/>
      <c r="J175" s="46"/>
      <c r="K175" s="46"/>
      <c r="L175" s="46"/>
      <c r="M175" s="46"/>
      <c r="N175" s="46"/>
      <c r="O175" s="46"/>
      <c r="P175" s="46"/>
      <c r="Q175" s="46"/>
      <c r="R175" s="46"/>
      <c r="S175" s="46"/>
      <c r="T175" s="46"/>
      <c r="U175" s="46"/>
      <c r="V175" s="46"/>
      <c r="W175" s="46"/>
      <c r="X175" s="46"/>
      <c r="Y175" s="46"/>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row>
    <row r="176" spans="4:79" ht="15">
      <c r="D176" s="58" t="s">
        <v>105</v>
      </c>
      <c r="E176" s="59">
        <f t="shared" ref="E176:Y176" si="104">SUM(E143:E174)</f>
        <v>5.7663709567262474E-2</v>
      </c>
      <c r="F176" s="59">
        <f t="shared" si="104"/>
        <v>0.1158435993163569</v>
      </c>
      <c r="G176" s="59">
        <f t="shared" si="104"/>
        <v>0.20674208954674581</v>
      </c>
      <c r="H176" s="59">
        <f t="shared" si="104"/>
        <v>0.33818856587896845</v>
      </c>
      <c r="I176" s="59">
        <f t="shared" si="104"/>
        <v>0.51806937168895828</v>
      </c>
      <c r="J176" s="59">
        <f t="shared" si="104"/>
        <v>0.74676449928009458</v>
      </c>
      <c r="K176" s="59">
        <f t="shared" si="104"/>
        <v>1.022305334386002</v>
      </c>
      <c r="L176" s="59">
        <f t="shared" si="104"/>
        <v>1.334210772006162</v>
      </c>
      <c r="M176" s="59">
        <f t="shared" si="104"/>
        <v>1.6610666134035827</v>
      </c>
      <c r="N176" s="59">
        <f t="shared" si="104"/>
        <v>1.9796319633841555</v>
      </c>
      <c r="O176" s="59">
        <f t="shared" si="104"/>
        <v>2.235850913540411</v>
      </c>
      <c r="P176" s="59">
        <f t="shared" si="104"/>
        <v>2.3942292144501347</v>
      </c>
      <c r="Q176" s="59">
        <f t="shared" si="104"/>
        <v>2.4202174026329621</v>
      </c>
      <c r="R176" s="59">
        <f t="shared" si="104"/>
        <v>2.2966805263924317</v>
      </c>
      <c r="S176" s="59">
        <f t="shared" si="104"/>
        <v>2.0400684832300686</v>
      </c>
      <c r="T176" s="59">
        <f t="shared" si="104"/>
        <v>1.6724493716021285</v>
      </c>
      <c r="U176" s="59">
        <f t="shared" si="104"/>
        <v>1.2592487591746968</v>
      </c>
      <c r="V176" s="59">
        <f t="shared" si="104"/>
        <v>0.86269217007936716</v>
      </c>
      <c r="W176" s="59">
        <f t="shared" si="104"/>
        <v>0.53231215520601216</v>
      </c>
      <c r="X176" s="59">
        <f t="shared" si="104"/>
        <v>0.25820882210231544</v>
      </c>
      <c r="Y176" s="59">
        <f t="shared" si="104"/>
        <v>25.820882210231542</v>
      </c>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row>
    <row r="177" spans="4:79" ht="15">
      <c r="D177" s="58" t="s">
        <v>106</v>
      </c>
      <c r="E177" s="59">
        <f>E176</f>
        <v>5.7663709567262474E-2</v>
      </c>
      <c r="F177" s="59">
        <f t="shared" ref="F177:X177" si="105">E177+F176</f>
        <v>0.17350730888361937</v>
      </c>
      <c r="G177" s="59">
        <f t="shared" si="105"/>
        <v>0.3802493984303652</v>
      </c>
      <c r="H177" s="59">
        <f t="shared" si="105"/>
        <v>0.71843796430933371</v>
      </c>
      <c r="I177" s="59">
        <f t="shared" si="105"/>
        <v>1.2365073359982919</v>
      </c>
      <c r="J177" s="59">
        <f t="shared" si="105"/>
        <v>1.9832718352783865</v>
      </c>
      <c r="K177" s="59">
        <f t="shared" si="105"/>
        <v>3.0055771696643885</v>
      </c>
      <c r="L177" s="59">
        <f t="shared" si="105"/>
        <v>4.3397879416705507</v>
      </c>
      <c r="M177" s="59">
        <f t="shared" si="105"/>
        <v>6.0008545550741337</v>
      </c>
      <c r="N177" s="59">
        <f t="shared" si="105"/>
        <v>7.9804865184582887</v>
      </c>
      <c r="O177" s="59">
        <f t="shared" si="105"/>
        <v>10.216337431998699</v>
      </c>
      <c r="P177" s="59">
        <f t="shared" si="105"/>
        <v>12.610566646448834</v>
      </c>
      <c r="Q177" s="59">
        <f t="shared" si="105"/>
        <v>15.030784049081797</v>
      </c>
      <c r="R177" s="59">
        <f t="shared" si="105"/>
        <v>17.327464575474227</v>
      </c>
      <c r="S177" s="59">
        <f t="shared" si="105"/>
        <v>19.367533058704296</v>
      </c>
      <c r="T177" s="59">
        <f t="shared" si="105"/>
        <v>21.039982430306424</v>
      </c>
      <c r="U177" s="59">
        <f t="shared" si="105"/>
        <v>22.299231189481119</v>
      </c>
      <c r="V177" s="59">
        <f t="shared" si="105"/>
        <v>23.161923359560486</v>
      </c>
      <c r="W177" s="59">
        <f t="shared" si="105"/>
        <v>23.694235514766497</v>
      </c>
      <c r="X177" s="59">
        <f t="shared" si="105"/>
        <v>23.952444336868812</v>
      </c>
      <c r="Y177" s="59"/>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row>
    <row r="178" spans="4:79">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row>
    <row r="179" spans="4: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row>
    <row r="180" spans="4:79" customFormat="1"/>
    <row r="181" spans="4:79" customFormat="1"/>
    <row r="182" spans="4:79" customFormat="1"/>
    <row r="183" spans="4:79" customFormat="1"/>
    <row r="184" spans="4:79" customFormat="1"/>
    <row r="185" spans="4:79" customFormat="1"/>
    <row r="186" spans="4:79" customFormat="1"/>
    <row r="187" spans="4:79" customFormat="1"/>
  </sheetData>
  <mergeCells count="1">
    <mergeCell ref="B1:S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1:H95"/>
  <sheetViews>
    <sheetView topLeftCell="A67" workbookViewId="0">
      <selection activeCell="H94" sqref="H94"/>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1" spans="1:7">
      <c r="A1" s="251" t="s">
        <v>532</v>
      </c>
      <c r="B1" s="252" t="s">
        <v>533</v>
      </c>
      <c r="C1" s="252" t="s">
        <v>534</v>
      </c>
      <c r="D1" s="252" t="s">
        <v>535</v>
      </c>
      <c r="E1" s="252" t="s">
        <v>536</v>
      </c>
      <c r="F1" s="252" t="s">
        <v>537</v>
      </c>
      <c r="G1" s="253" t="s">
        <v>538</v>
      </c>
    </row>
    <row r="2" spans="1:7">
      <c r="A2" s="254">
        <v>2010</v>
      </c>
      <c r="B2" s="255" t="s">
        <v>539</v>
      </c>
      <c r="C2" s="255" t="s">
        <v>139</v>
      </c>
      <c r="D2" s="255" t="s">
        <v>540</v>
      </c>
      <c r="E2" s="255" t="s">
        <v>541</v>
      </c>
      <c r="F2" s="256">
        <v>494391.04000000004</v>
      </c>
      <c r="G2" s="257">
        <v>5.6437333230860531E-2</v>
      </c>
    </row>
    <row r="3" spans="1:7">
      <c r="A3" s="258">
        <v>2010</v>
      </c>
      <c r="B3" s="259" t="s">
        <v>539</v>
      </c>
      <c r="C3" s="259" t="s">
        <v>139</v>
      </c>
      <c r="D3" s="259" t="s">
        <v>540</v>
      </c>
      <c r="E3" s="259" t="s">
        <v>542</v>
      </c>
      <c r="F3" s="260">
        <v>187828.58500000002</v>
      </c>
      <c r="G3" s="261">
        <v>2.1441618824610487E-2</v>
      </c>
    </row>
    <row r="4" spans="1:7">
      <c r="A4" s="262">
        <v>2010</v>
      </c>
      <c r="B4" s="263" t="s">
        <v>539</v>
      </c>
      <c r="C4" s="263" t="s">
        <v>139</v>
      </c>
      <c r="D4" s="263" t="s">
        <v>543</v>
      </c>
      <c r="E4" s="263" t="s">
        <v>544</v>
      </c>
      <c r="F4" s="264">
        <v>24646.239999999998</v>
      </c>
      <c r="G4" s="265">
        <v>2.8134976887486118E-3</v>
      </c>
    </row>
    <row r="5" spans="1:7">
      <c r="A5" s="258">
        <v>2010</v>
      </c>
      <c r="B5" s="259" t="s">
        <v>539</v>
      </c>
      <c r="C5" s="259" t="s">
        <v>139</v>
      </c>
      <c r="D5" s="259" t="s">
        <v>543</v>
      </c>
      <c r="E5" s="259" t="s">
        <v>545</v>
      </c>
      <c r="F5" s="260">
        <v>469322.04</v>
      </c>
      <c r="G5" s="261">
        <v>5.3575575762806693E-2</v>
      </c>
    </row>
    <row r="6" spans="1:7">
      <c r="A6" s="262">
        <v>2010</v>
      </c>
      <c r="B6" s="263" t="s">
        <v>539</v>
      </c>
      <c r="C6" s="263" t="s">
        <v>139</v>
      </c>
      <c r="D6" s="263" t="s">
        <v>543</v>
      </c>
      <c r="E6" s="263" t="s">
        <v>546</v>
      </c>
      <c r="F6" s="264">
        <v>404415.72</v>
      </c>
      <c r="G6" s="265">
        <v>4.6166178428393323E-2</v>
      </c>
    </row>
    <row r="7" spans="1:7">
      <c r="A7" s="258">
        <v>2010</v>
      </c>
      <c r="B7" s="259" t="s">
        <v>539</v>
      </c>
      <c r="C7" s="259" t="s">
        <v>139</v>
      </c>
      <c r="D7" s="259" t="s">
        <v>543</v>
      </c>
      <c r="E7" s="259" t="s">
        <v>547</v>
      </c>
      <c r="F7" s="260">
        <v>517886.84</v>
      </c>
      <c r="G7" s="261">
        <v>5.9119501844179467E-2</v>
      </c>
    </row>
    <row r="8" spans="1:7">
      <c r="A8" s="262">
        <v>2010</v>
      </c>
      <c r="B8" s="263" t="s">
        <v>539</v>
      </c>
      <c r="C8" s="263" t="s">
        <v>139</v>
      </c>
      <c r="D8" s="263" t="s">
        <v>543</v>
      </c>
      <c r="E8" s="263" t="s">
        <v>548</v>
      </c>
      <c r="F8" s="264">
        <v>13226</v>
      </c>
      <c r="G8" s="265">
        <v>1.5098173607839271E-3</v>
      </c>
    </row>
    <row r="9" spans="1:7">
      <c r="A9" s="258">
        <v>2010</v>
      </c>
      <c r="B9" s="259" t="s">
        <v>539</v>
      </c>
      <c r="C9" s="259" t="s">
        <v>139</v>
      </c>
      <c r="D9" s="259" t="s">
        <v>543</v>
      </c>
      <c r="E9" s="259" t="s">
        <v>549</v>
      </c>
      <c r="F9" s="260">
        <v>9612.48</v>
      </c>
      <c r="G9" s="261">
        <v>1.0973150801873999E-3</v>
      </c>
    </row>
    <row r="10" spans="1:7">
      <c r="A10" s="262">
        <v>2010</v>
      </c>
      <c r="B10" s="263" t="s">
        <v>539</v>
      </c>
      <c r="C10" s="263" t="s">
        <v>139</v>
      </c>
      <c r="D10" s="263" t="s">
        <v>543</v>
      </c>
      <c r="E10" s="263" t="s">
        <v>550</v>
      </c>
      <c r="F10" s="264">
        <v>87441.560000000012</v>
      </c>
      <c r="G10" s="265">
        <v>9.9819132228731178E-3</v>
      </c>
    </row>
    <row r="11" spans="1:7">
      <c r="A11" s="258">
        <v>2010</v>
      </c>
      <c r="B11" s="259" t="s">
        <v>539</v>
      </c>
      <c r="C11" s="259" t="s">
        <v>139</v>
      </c>
      <c r="D11" s="259" t="s">
        <v>543</v>
      </c>
      <c r="E11" s="259" t="s">
        <v>541</v>
      </c>
      <c r="F11" s="260">
        <v>341837</v>
      </c>
      <c r="G11" s="261">
        <v>3.9022488000568956E-2</v>
      </c>
    </row>
    <row r="12" spans="1:7">
      <c r="A12" s="262">
        <v>2010</v>
      </c>
      <c r="B12" s="263" t="s">
        <v>539</v>
      </c>
      <c r="C12" s="263" t="s">
        <v>139</v>
      </c>
      <c r="D12" s="263" t="s">
        <v>543</v>
      </c>
      <c r="E12" s="263" t="s">
        <v>551</v>
      </c>
      <c r="F12" s="264">
        <v>202896.16</v>
      </c>
      <c r="G12" s="265">
        <v>2.3161662889378931E-2</v>
      </c>
    </row>
    <row r="13" spans="1:7">
      <c r="A13" s="258">
        <v>2010</v>
      </c>
      <c r="B13" s="259" t="s">
        <v>539</v>
      </c>
      <c r="C13" s="259" t="s">
        <v>139</v>
      </c>
      <c r="D13" s="259" t="s">
        <v>543</v>
      </c>
      <c r="E13" s="259" t="s">
        <v>552</v>
      </c>
      <c r="F13" s="260">
        <v>1378958</v>
      </c>
      <c r="G13" s="261">
        <v>0.1574152967241389</v>
      </c>
    </row>
    <row r="14" spans="1:7">
      <c r="A14" s="262">
        <v>2010</v>
      </c>
      <c r="B14" s="263" t="s">
        <v>539</v>
      </c>
      <c r="C14" s="263" t="s">
        <v>139</v>
      </c>
      <c r="D14" s="263" t="s">
        <v>543</v>
      </c>
      <c r="E14" s="263" t="s">
        <v>553</v>
      </c>
      <c r="F14" s="264">
        <v>1686323.16</v>
      </c>
      <c r="G14" s="265">
        <v>0.19250264415632046</v>
      </c>
    </row>
    <row r="15" spans="1:7">
      <c r="A15" s="258">
        <v>2010</v>
      </c>
      <c r="B15" s="259" t="s">
        <v>539</v>
      </c>
      <c r="C15" s="259" t="s">
        <v>139</v>
      </c>
      <c r="D15" s="259" t="s">
        <v>543</v>
      </c>
      <c r="E15" s="259" t="s">
        <v>542</v>
      </c>
      <c r="F15" s="260">
        <v>1574985.3998000002</v>
      </c>
      <c r="G15" s="261">
        <v>0.17979285730962147</v>
      </c>
    </row>
    <row r="16" spans="1:7">
      <c r="A16" s="262">
        <v>2010</v>
      </c>
      <c r="B16" s="263" t="s">
        <v>539</v>
      </c>
      <c r="C16" s="263" t="s">
        <v>139</v>
      </c>
      <c r="D16" s="263" t="s">
        <v>554</v>
      </c>
      <c r="E16" s="263" t="s">
        <v>554</v>
      </c>
      <c r="F16" s="264">
        <v>10372574.32</v>
      </c>
      <c r="G16" s="265">
        <v>1.1840838240459561</v>
      </c>
    </row>
    <row r="17" spans="1:7">
      <c r="A17" s="258">
        <v>2010</v>
      </c>
      <c r="B17" s="259" t="s">
        <v>539</v>
      </c>
      <c r="C17" s="259" t="s">
        <v>139</v>
      </c>
      <c r="D17" s="259" t="s">
        <v>554</v>
      </c>
      <c r="E17" s="259" t="s">
        <v>542</v>
      </c>
      <c r="F17" s="260">
        <v>1796619.5407999996</v>
      </c>
      <c r="G17" s="261">
        <v>0.20509355481772218</v>
      </c>
    </row>
    <row r="18" spans="1:7">
      <c r="A18" s="262">
        <v>2010</v>
      </c>
      <c r="B18" s="263" t="s">
        <v>539</v>
      </c>
      <c r="C18" s="263" t="s">
        <v>139</v>
      </c>
      <c r="D18" s="263" t="s">
        <v>555</v>
      </c>
      <c r="E18" s="263" t="s">
        <v>556</v>
      </c>
      <c r="F18" s="264">
        <v>51846</v>
      </c>
      <c r="G18" s="265">
        <v>5.918493028730154E-3</v>
      </c>
    </row>
    <row r="19" spans="1:7">
      <c r="A19" s="258">
        <v>2010</v>
      </c>
      <c r="B19" s="259" t="s">
        <v>539</v>
      </c>
      <c r="C19" s="259" t="s">
        <v>139</v>
      </c>
      <c r="D19" s="259" t="s">
        <v>557</v>
      </c>
      <c r="E19" s="259" t="s">
        <v>542</v>
      </c>
      <c r="F19" s="260">
        <v>12163989</v>
      </c>
      <c r="G19" s="261">
        <v>1.3885831832885742</v>
      </c>
    </row>
    <row r="20" spans="1:7">
      <c r="A20" s="262">
        <v>2010</v>
      </c>
      <c r="B20" s="263" t="s">
        <v>539</v>
      </c>
      <c r="C20" s="263" t="s">
        <v>139</v>
      </c>
      <c r="D20" s="263" t="s">
        <v>557</v>
      </c>
      <c r="E20" s="263" t="s">
        <v>558</v>
      </c>
      <c r="F20" s="264">
        <v>931493</v>
      </c>
      <c r="G20" s="265">
        <v>0.10633481596596539</v>
      </c>
    </row>
    <row r="21" spans="1:7">
      <c r="A21" s="254">
        <v>2011</v>
      </c>
      <c r="B21" s="255" t="s">
        <v>539</v>
      </c>
      <c r="C21" s="255" t="s">
        <v>139</v>
      </c>
      <c r="D21" s="255" t="s">
        <v>540</v>
      </c>
      <c r="E21" s="255" t="s">
        <v>541</v>
      </c>
      <c r="F21" s="256">
        <v>285487.35999999999</v>
      </c>
      <c r="G21" s="257">
        <v>3.2589881011517718E-2</v>
      </c>
    </row>
    <row r="22" spans="1:7">
      <c r="A22" s="258">
        <v>2011</v>
      </c>
      <c r="B22" s="259" t="s">
        <v>539</v>
      </c>
      <c r="C22" s="259" t="s">
        <v>139</v>
      </c>
      <c r="D22" s="259" t="s">
        <v>543</v>
      </c>
      <c r="E22" s="259" t="s">
        <v>544</v>
      </c>
      <c r="F22" s="260">
        <v>52182.400000000001</v>
      </c>
      <c r="G22" s="261">
        <v>5.9568949918684666E-3</v>
      </c>
    </row>
    <row r="23" spans="1:7">
      <c r="A23" s="262">
        <v>2011</v>
      </c>
      <c r="B23" s="263" t="s">
        <v>539</v>
      </c>
      <c r="C23" s="263" t="s">
        <v>139</v>
      </c>
      <c r="D23" s="263" t="s">
        <v>543</v>
      </c>
      <c r="E23" s="263" t="s">
        <v>545</v>
      </c>
      <c r="F23" s="264">
        <v>289636</v>
      </c>
      <c r="G23" s="265">
        <v>3.306347038687818E-2</v>
      </c>
    </row>
    <row r="24" spans="1:7">
      <c r="A24" s="258">
        <v>2011</v>
      </c>
      <c r="B24" s="259" t="s">
        <v>539</v>
      </c>
      <c r="C24" s="259" t="s">
        <v>139</v>
      </c>
      <c r="D24" s="259" t="s">
        <v>543</v>
      </c>
      <c r="E24" s="259" t="s">
        <v>546</v>
      </c>
      <c r="F24" s="260">
        <v>447621</v>
      </c>
      <c r="G24" s="261">
        <v>5.109828859258414E-2</v>
      </c>
    </row>
    <row r="25" spans="1:7">
      <c r="A25" s="262">
        <v>2011</v>
      </c>
      <c r="B25" s="263" t="s">
        <v>539</v>
      </c>
      <c r="C25" s="263" t="s">
        <v>139</v>
      </c>
      <c r="D25" s="263" t="s">
        <v>543</v>
      </c>
      <c r="E25" s="263" t="s">
        <v>547</v>
      </c>
      <c r="F25" s="264">
        <v>199860.48000000001</v>
      </c>
      <c r="G25" s="265">
        <v>2.2815123348209454E-2</v>
      </c>
    </row>
    <row r="26" spans="1:7">
      <c r="A26" s="258">
        <v>2011</v>
      </c>
      <c r="B26" s="259" t="s">
        <v>539</v>
      </c>
      <c r="C26" s="259" t="s">
        <v>139</v>
      </c>
      <c r="D26" s="259" t="s">
        <v>543</v>
      </c>
      <c r="E26" s="259" t="s">
        <v>548</v>
      </c>
      <c r="F26" s="260">
        <v>8568</v>
      </c>
      <c r="G26" s="261">
        <v>9.7808220016304404E-4</v>
      </c>
    </row>
    <row r="27" spans="1:7">
      <c r="A27" s="262">
        <v>2011</v>
      </c>
      <c r="B27" s="263" t="s">
        <v>539</v>
      </c>
      <c r="C27" s="263" t="s">
        <v>139</v>
      </c>
      <c r="D27" s="263" t="s">
        <v>543</v>
      </c>
      <c r="E27" s="263" t="s">
        <v>549</v>
      </c>
      <c r="F27" s="264">
        <v>2788.64</v>
      </c>
      <c r="G27" s="265">
        <v>3.1833790399105055E-4</v>
      </c>
    </row>
    <row r="28" spans="1:7">
      <c r="A28" s="258">
        <v>2011</v>
      </c>
      <c r="B28" s="259" t="s">
        <v>539</v>
      </c>
      <c r="C28" s="259" t="s">
        <v>139</v>
      </c>
      <c r="D28" s="259" t="s">
        <v>543</v>
      </c>
      <c r="E28" s="259" t="s">
        <v>550</v>
      </c>
      <c r="F28" s="260">
        <v>76583.320000000007</v>
      </c>
      <c r="G28" s="261">
        <v>8.7423880540882237E-3</v>
      </c>
    </row>
    <row r="29" spans="1:7">
      <c r="A29" s="262">
        <v>2011</v>
      </c>
      <c r="B29" s="263" t="s">
        <v>539</v>
      </c>
      <c r="C29" s="263" t="s">
        <v>139</v>
      </c>
      <c r="D29" s="263" t="s">
        <v>543</v>
      </c>
      <c r="E29" s="263" t="s">
        <v>541</v>
      </c>
      <c r="F29" s="264">
        <v>1087714</v>
      </c>
      <c r="G29" s="265">
        <v>0.12416826453841168</v>
      </c>
    </row>
    <row r="30" spans="1:7">
      <c r="A30" s="258">
        <v>2011</v>
      </c>
      <c r="B30" s="259" t="s">
        <v>539</v>
      </c>
      <c r="C30" s="259" t="s">
        <v>139</v>
      </c>
      <c r="D30" s="259" t="s">
        <v>543</v>
      </c>
      <c r="E30" s="259" t="s">
        <v>551</v>
      </c>
      <c r="F30" s="260">
        <v>165425.44</v>
      </c>
      <c r="G30" s="261">
        <v>1.8884182646161207E-2</v>
      </c>
    </row>
    <row r="31" spans="1:7">
      <c r="A31" s="262">
        <v>2011</v>
      </c>
      <c r="B31" s="263" t="s">
        <v>539</v>
      </c>
      <c r="C31" s="263" t="s">
        <v>139</v>
      </c>
      <c r="D31" s="263" t="s">
        <v>543</v>
      </c>
      <c r="E31" s="263" t="s">
        <v>552</v>
      </c>
      <c r="F31" s="264">
        <v>2142940</v>
      </c>
      <c r="G31" s="265">
        <v>0.24462785306968726</v>
      </c>
    </row>
    <row r="32" spans="1:7">
      <c r="A32" s="258">
        <v>2011</v>
      </c>
      <c r="B32" s="259" t="s">
        <v>539</v>
      </c>
      <c r="C32" s="259" t="s">
        <v>139</v>
      </c>
      <c r="D32" s="259" t="s">
        <v>543</v>
      </c>
      <c r="E32" s="259" t="s">
        <v>553</v>
      </c>
      <c r="F32" s="260">
        <v>1780161.24</v>
      </c>
      <c r="G32" s="261">
        <v>0.20321475221953733</v>
      </c>
    </row>
    <row r="33" spans="1:7">
      <c r="A33" s="262">
        <v>2011</v>
      </c>
      <c r="B33" s="263" t="s">
        <v>539</v>
      </c>
      <c r="C33" s="263" t="s">
        <v>139</v>
      </c>
      <c r="D33" s="263" t="s">
        <v>543</v>
      </c>
      <c r="E33" s="263" t="s">
        <v>542</v>
      </c>
      <c r="F33" s="264">
        <v>2871819.9588409988</v>
      </c>
      <c r="G33" s="265">
        <v>0.32783332551980493</v>
      </c>
    </row>
    <row r="34" spans="1:7">
      <c r="A34" s="258">
        <v>2011</v>
      </c>
      <c r="B34" s="259" t="s">
        <v>539</v>
      </c>
      <c r="C34" s="259" t="s">
        <v>139</v>
      </c>
      <c r="D34" s="259" t="s">
        <v>554</v>
      </c>
      <c r="E34" s="259" t="s">
        <v>554</v>
      </c>
      <c r="F34" s="260">
        <v>14097640.960000001</v>
      </c>
      <c r="G34" s="261">
        <v>1.6093197800219059</v>
      </c>
    </row>
    <row r="35" spans="1:7">
      <c r="A35" s="262">
        <v>2011</v>
      </c>
      <c r="B35" s="263" t="s">
        <v>539</v>
      </c>
      <c r="C35" s="263" t="s">
        <v>139</v>
      </c>
      <c r="D35" s="263" t="s">
        <v>554</v>
      </c>
      <c r="E35" s="263" t="s">
        <v>542</v>
      </c>
      <c r="F35" s="264">
        <v>722070.17552999989</v>
      </c>
      <c r="G35" s="265">
        <v>8.2428100780816749E-2</v>
      </c>
    </row>
    <row r="36" spans="1:7">
      <c r="A36" s="258">
        <v>2011</v>
      </c>
      <c r="B36" s="259" t="s">
        <v>539</v>
      </c>
      <c r="C36" s="259" t="s">
        <v>139</v>
      </c>
      <c r="D36" s="259" t="s">
        <v>555</v>
      </c>
      <c r="E36" s="259" t="s">
        <v>556</v>
      </c>
      <c r="F36" s="260">
        <v>795074</v>
      </c>
      <c r="G36" s="261">
        <v>9.0761872357688844E-2</v>
      </c>
    </row>
    <row r="37" spans="1:7">
      <c r="A37" s="262">
        <v>2011</v>
      </c>
      <c r="B37" s="263" t="s">
        <v>539</v>
      </c>
      <c r="C37" s="263" t="s">
        <v>139</v>
      </c>
      <c r="D37" s="263" t="s">
        <v>557</v>
      </c>
      <c r="E37" s="263" t="s">
        <v>542</v>
      </c>
      <c r="F37" s="264">
        <v>15503635</v>
      </c>
      <c r="G37" s="265">
        <v>1.7698214054107666</v>
      </c>
    </row>
    <row r="38" spans="1:7">
      <c r="A38" s="258">
        <v>2011</v>
      </c>
      <c r="B38" s="259" t="s">
        <v>539</v>
      </c>
      <c r="C38" s="259" t="s">
        <v>139</v>
      </c>
      <c r="D38" s="259" t="s">
        <v>557</v>
      </c>
      <c r="E38" s="259" t="s">
        <v>558</v>
      </c>
      <c r="F38" s="260">
        <v>3555365</v>
      </c>
      <c r="G38" s="261">
        <v>0.40586358279688284</v>
      </c>
    </row>
    <row r="39" spans="1:7">
      <c r="A39" s="266">
        <v>2012</v>
      </c>
      <c r="B39" s="267" t="s">
        <v>539</v>
      </c>
      <c r="C39" s="267" t="s">
        <v>139</v>
      </c>
      <c r="D39" s="267" t="s">
        <v>559</v>
      </c>
      <c r="E39" s="267" t="s">
        <v>542</v>
      </c>
      <c r="F39" s="268">
        <v>19452.32</v>
      </c>
      <c r="G39" s="269">
        <v>2.2205845452845097E-3</v>
      </c>
    </row>
    <row r="40" spans="1:7">
      <c r="A40" s="262">
        <v>2012</v>
      </c>
      <c r="B40" s="263" t="s">
        <v>539</v>
      </c>
      <c r="C40" s="263" t="s">
        <v>139</v>
      </c>
      <c r="D40" s="263" t="s">
        <v>540</v>
      </c>
      <c r="E40" s="263" t="s">
        <v>541</v>
      </c>
      <c r="F40" s="264">
        <v>1218136.25</v>
      </c>
      <c r="G40" s="265">
        <v>0.13905665039783344</v>
      </c>
    </row>
    <row r="41" spans="1:7">
      <c r="A41" s="258">
        <v>2012</v>
      </c>
      <c r="B41" s="259" t="s">
        <v>539</v>
      </c>
      <c r="C41" s="259" t="s">
        <v>139</v>
      </c>
      <c r="D41" s="259" t="s">
        <v>540</v>
      </c>
      <c r="E41" s="259" t="s">
        <v>542</v>
      </c>
      <c r="F41" s="260">
        <v>284140.98449999996</v>
      </c>
      <c r="G41" s="261">
        <v>3.2436185150800156E-2</v>
      </c>
    </row>
    <row r="42" spans="1:7">
      <c r="A42" s="262">
        <v>2012</v>
      </c>
      <c r="B42" s="263" t="s">
        <v>539</v>
      </c>
      <c r="C42" s="263" t="s">
        <v>139</v>
      </c>
      <c r="D42" s="263" t="s">
        <v>543</v>
      </c>
      <c r="E42" s="263" t="s">
        <v>544</v>
      </c>
      <c r="F42" s="264">
        <v>98109.75</v>
      </c>
      <c r="G42" s="265">
        <v>1.1199743110864802E-2</v>
      </c>
    </row>
    <row r="43" spans="1:7">
      <c r="A43" s="258">
        <v>2012</v>
      </c>
      <c r="B43" s="259" t="s">
        <v>539</v>
      </c>
      <c r="C43" s="259" t="s">
        <v>139</v>
      </c>
      <c r="D43" s="259" t="s">
        <v>543</v>
      </c>
      <c r="E43" s="259" t="s">
        <v>545</v>
      </c>
      <c r="F43" s="260">
        <v>200715.5</v>
      </c>
      <c r="G43" s="261">
        <v>2.2912728205710664E-2</v>
      </c>
    </row>
    <row r="44" spans="1:7">
      <c r="A44" s="262">
        <v>2012</v>
      </c>
      <c r="B44" s="263" t="s">
        <v>539</v>
      </c>
      <c r="C44" s="263" t="s">
        <v>139</v>
      </c>
      <c r="D44" s="263" t="s">
        <v>543</v>
      </c>
      <c r="E44" s="263" t="s">
        <v>546</v>
      </c>
      <c r="F44" s="264">
        <v>2206864.25</v>
      </c>
      <c r="G44" s="265">
        <v>0.25192514689206291</v>
      </c>
    </row>
    <row r="45" spans="1:7">
      <c r="A45" s="258">
        <v>2012</v>
      </c>
      <c r="B45" s="259" t="s">
        <v>539</v>
      </c>
      <c r="C45" s="259" t="s">
        <v>139</v>
      </c>
      <c r="D45" s="259" t="s">
        <v>543</v>
      </c>
      <c r="E45" s="259" t="s">
        <v>547</v>
      </c>
      <c r="F45" s="260">
        <v>149331</v>
      </c>
      <c r="G45" s="261">
        <v>1.704691768372868E-2</v>
      </c>
    </row>
    <row r="46" spans="1:7">
      <c r="A46" s="262">
        <v>2012</v>
      </c>
      <c r="B46" s="263" t="s">
        <v>539</v>
      </c>
      <c r="C46" s="263" t="s">
        <v>139</v>
      </c>
      <c r="D46" s="263" t="s">
        <v>543</v>
      </c>
      <c r="E46" s="263" t="s">
        <v>548</v>
      </c>
      <c r="F46" s="264">
        <v>9261</v>
      </c>
      <c r="G46" s="265">
        <v>1.0571917432571354E-3</v>
      </c>
    </row>
    <row r="47" spans="1:7">
      <c r="A47" s="258">
        <v>2012</v>
      </c>
      <c r="B47" s="259" t="s">
        <v>539</v>
      </c>
      <c r="C47" s="259" t="s">
        <v>139</v>
      </c>
      <c r="D47" s="259" t="s">
        <v>543</v>
      </c>
      <c r="E47" s="259" t="s">
        <v>549</v>
      </c>
      <c r="F47" s="260">
        <v>4035</v>
      </c>
      <c r="G47" s="261">
        <v>4.6061643922712392E-4</v>
      </c>
    </row>
    <row r="48" spans="1:7">
      <c r="A48" s="262">
        <v>2012</v>
      </c>
      <c r="B48" s="263" t="s">
        <v>539</v>
      </c>
      <c r="C48" s="263" t="s">
        <v>139</v>
      </c>
      <c r="D48" s="263" t="s">
        <v>543</v>
      </c>
      <c r="E48" s="263" t="s">
        <v>550</v>
      </c>
      <c r="F48" s="264">
        <v>149119.25</v>
      </c>
      <c r="G48" s="265">
        <v>1.7022745349095203E-2</v>
      </c>
    </row>
    <row r="49" spans="1:7">
      <c r="A49" s="258">
        <v>2012</v>
      </c>
      <c r="B49" s="259" t="s">
        <v>539</v>
      </c>
      <c r="C49" s="259" t="s">
        <v>139</v>
      </c>
      <c r="D49" s="259" t="s">
        <v>543</v>
      </c>
      <c r="E49" s="259" t="s">
        <v>541</v>
      </c>
      <c r="F49" s="260">
        <v>834567</v>
      </c>
      <c r="G49" s="261">
        <v>9.5270206214991049E-2</v>
      </c>
    </row>
    <row r="50" spans="1:7">
      <c r="A50" s="262">
        <v>2012</v>
      </c>
      <c r="B50" s="263" t="s">
        <v>539</v>
      </c>
      <c r="C50" s="263" t="s">
        <v>139</v>
      </c>
      <c r="D50" s="263" t="s">
        <v>543</v>
      </c>
      <c r="E50" s="263" t="s">
        <v>551</v>
      </c>
      <c r="F50" s="264">
        <v>267875.75</v>
      </c>
      <c r="G50" s="265">
        <v>3.0579423448216403E-2</v>
      </c>
    </row>
    <row r="51" spans="1:7">
      <c r="A51" s="258">
        <v>2012</v>
      </c>
      <c r="B51" s="259" t="s">
        <v>539</v>
      </c>
      <c r="C51" s="259" t="s">
        <v>139</v>
      </c>
      <c r="D51" s="259" t="s">
        <v>543</v>
      </c>
      <c r="E51" s="259" t="s">
        <v>552</v>
      </c>
      <c r="F51" s="260">
        <v>2037413</v>
      </c>
      <c r="G51" s="261">
        <v>0.23258139231984387</v>
      </c>
    </row>
    <row r="52" spans="1:7">
      <c r="A52" s="262">
        <v>2012</v>
      </c>
      <c r="B52" s="263" t="s">
        <v>539</v>
      </c>
      <c r="C52" s="263" t="s">
        <v>139</v>
      </c>
      <c r="D52" s="263" t="s">
        <v>543</v>
      </c>
      <c r="E52" s="263" t="s">
        <v>553</v>
      </c>
      <c r="F52" s="264">
        <v>1353918.25</v>
      </c>
      <c r="G52" s="265">
        <v>0.15455687723010669</v>
      </c>
    </row>
    <row r="53" spans="1:7">
      <c r="A53" s="258">
        <v>2012</v>
      </c>
      <c r="B53" s="259" t="s">
        <v>539</v>
      </c>
      <c r="C53" s="259" t="s">
        <v>139</v>
      </c>
      <c r="D53" s="259" t="s">
        <v>543</v>
      </c>
      <c r="E53" s="259" t="s">
        <v>542</v>
      </c>
      <c r="F53" s="260">
        <v>2818457.2526999996</v>
      </c>
      <c r="G53" s="261">
        <v>0.32174169288418852</v>
      </c>
    </row>
    <row r="54" spans="1:7">
      <c r="A54" s="262">
        <v>2012</v>
      </c>
      <c r="B54" s="263" t="s">
        <v>539</v>
      </c>
      <c r="C54" s="263" t="s">
        <v>139</v>
      </c>
      <c r="D54" s="263" t="s">
        <v>554</v>
      </c>
      <c r="E54" s="263" t="s">
        <v>554</v>
      </c>
      <c r="F54" s="264">
        <v>11099010</v>
      </c>
      <c r="G54" s="265">
        <v>1.2670102687552571</v>
      </c>
    </row>
    <row r="55" spans="1:7">
      <c r="A55" s="258">
        <v>2012</v>
      </c>
      <c r="B55" s="259" t="s">
        <v>539</v>
      </c>
      <c r="C55" s="259" t="s">
        <v>139</v>
      </c>
      <c r="D55" s="259" t="s">
        <v>554</v>
      </c>
      <c r="E55" s="259" t="s">
        <v>542</v>
      </c>
      <c r="F55" s="260">
        <v>1292523.6456000002</v>
      </c>
      <c r="G55" s="261">
        <v>0.14754836179781705</v>
      </c>
    </row>
    <row r="56" spans="1:7">
      <c r="A56" s="262">
        <v>2012</v>
      </c>
      <c r="B56" s="263" t="s">
        <v>539</v>
      </c>
      <c r="C56" s="263" t="s">
        <v>139</v>
      </c>
      <c r="D56" s="263" t="s">
        <v>557</v>
      </c>
      <c r="E56" s="263" t="s">
        <v>560</v>
      </c>
      <c r="F56" s="264">
        <v>0</v>
      </c>
      <c r="G56" s="265">
        <v>0</v>
      </c>
    </row>
    <row r="57" spans="1:7">
      <c r="A57" s="258">
        <v>2012</v>
      </c>
      <c r="B57" s="259" t="s">
        <v>539</v>
      </c>
      <c r="C57" s="259" t="s">
        <v>139</v>
      </c>
      <c r="D57" s="259" t="s">
        <v>557</v>
      </c>
      <c r="E57" s="259" t="s">
        <v>542</v>
      </c>
      <c r="F57" s="260">
        <v>14064463.4541</v>
      </c>
      <c r="G57" s="261">
        <v>1.6055323315085843</v>
      </c>
    </row>
    <row r="58" spans="1:7">
      <c r="A58" s="266">
        <v>2013</v>
      </c>
      <c r="B58" s="267" t="s">
        <v>539</v>
      </c>
      <c r="C58" s="267" t="s">
        <v>139</v>
      </c>
      <c r="D58" s="267" t="s">
        <v>559</v>
      </c>
      <c r="E58" s="267" t="s">
        <v>666</v>
      </c>
      <c r="F58" s="268">
        <v>67578.73</v>
      </c>
      <c r="G58" s="269">
        <v>7.7144671231508255E-3</v>
      </c>
    </row>
    <row r="59" spans="1:7">
      <c r="A59" s="262">
        <v>2013</v>
      </c>
      <c r="B59" s="263" t="s">
        <v>539</v>
      </c>
      <c r="C59" s="263" t="s">
        <v>139</v>
      </c>
      <c r="D59" s="263" t="s">
        <v>540</v>
      </c>
      <c r="E59" s="263" t="s">
        <v>667</v>
      </c>
      <c r="F59" s="264">
        <v>59071.552100000001</v>
      </c>
      <c r="G59" s="265">
        <v>6.7433278454700485E-3</v>
      </c>
    </row>
    <row r="60" spans="1:7">
      <c r="A60" s="258">
        <v>2013</v>
      </c>
      <c r="B60" s="259" t="s">
        <v>539</v>
      </c>
      <c r="C60" s="259" t="s">
        <v>139</v>
      </c>
      <c r="D60" s="259" t="s">
        <v>540</v>
      </c>
      <c r="E60" s="259" t="s">
        <v>668</v>
      </c>
      <c r="F60" s="260">
        <v>35914</v>
      </c>
      <c r="G60" s="261">
        <v>4.0997718460857868E-3</v>
      </c>
    </row>
    <row r="61" spans="1:7">
      <c r="A61" s="262">
        <v>2013</v>
      </c>
      <c r="B61" s="263" t="s">
        <v>539</v>
      </c>
      <c r="C61" s="263" t="s">
        <v>139</v>
      </c>
      <c r="D61" s="263" t="s">
        <v>540</v>
      </c>
      <c r="E61" s="263" t="s">
        <v>669</v>
      </c>
      <c r="F61" s="264">
        <v>1444164.5125</v>
      </c>
      <c r="G61" s="265">
        <v>0.16485896197991678</v>
      </c>
    </row>
    <row r="62" spans="1:7">
      <c r="A62" s="258">
        <v>2013</v>
      </c>
      <c r="B62" s="259" t="s">
        <v>539</v>
      </c>
      <c r="C62" s="259" t="s">
        <v>139</v>
      </c>
      <c r="D62" s="259" t="s">
        <v>543</v>
      </c>
      <c r="E62" s="259" t="s">
        <v>544</v>
      </c>
      <c r="F62" s="260">
        <v>91847.149399999995</v>
      </c>
      <c r="G62" s="261">
        <v>1.0484834611361293E-2</v>
      </c>
    </row>
    <row r="63" spans="1:7">
      <c r="A63" s="262">
        <v>2013</v>
      </c>
      <c r="B63" s="263" t="s">
        <v>539</v>
      </c>
      <c r="C63" s="263" t="s">
        <v>139</v>
      </c>
      <c r="D63" s="263" t="s">
        <v>543</v>
      </c>
      <c r="E63" s="263" t="s">
        <v>545</v>
      </c>
      <c r="F63" s="264">
        <v>159806.66080000001</v>
      </c>
      <c r="G63" s="265">
        <v>1.8242769515836699E-2</v>
      </c>
    </row>
    <row r="64" spans="1:7">
      <c r="A64" s="258">
        <v>2013</v>
      </c>
      <c r="B64" s="259" t="s">
        <v>539</v>
      </c>
      <c r="C64" s="259" t="s">
        <v>139</v>
      </c>
      <c r="D64" s="259" t="s">
        <v>543</v>
      </c>
      <c r="E64" s="259" t="s">
        <v>546</v>
      </c>
      <c r="F64" s="260">
        <v>1205570.9555000002</v>
      </c>
      <c r="G64" s="261">
        <v>0.13762225306618348</v>
      </c>
    </row>
    <row r="65" spans="1:7">
      <c r="A65" s="262">
        <v>2013</v>
      </c>
      <c r="B65" s="263" t="s">
        <v>539</v>
      </c>
      <c r="C65" s="263" t="s">
        <v>139</v>
      </c>
      <c r="D65" s="263" t="s">
        <v>543</v>
      </c>
      <c r="E65" s="263" t="s">
        <v>547</v>
      </c>
      <c r="F65" s="264">
        <v>131218.08480000001</v>
      </c>
      <c r="G65" s="265">
        <v>1.4979233435667538E-2</v>
      </c>
    </row>
    <row r="66" spans="1:7">
      <c r="A66" s="258">
        <v>2013</v>
      </c>
      <c r="B66" s="259" t="s">
        <v>539</v>
      </c>
      <c r="C66" s="259" t="s">
        <v>139</v>
      </c>
      <c r="D66" s="259" t="s">
        <v>543</v>
      </c>
      <c r="E66" s="259" t="s">
        <v>548</v>
      </c>
      <c r="F66" s="260">
        <v>32760</v>
      </c>
      <c r="G66" s="261">
        <v>3.7397259729914367E-3</v>
      </c>
    </row>
    <row r="67" spans="1:7">
      <c r="A67" s="262">
        <v>2013</v>
      </c>
      <c r="B67" s="263" t="s">
        <v>539</v>
      </c>
      <c r="C67" s="263" t="s">
        <v>139</v>
      </c>
      <c r="D67" s="263" t="s">
        <v>543</v>
      </c>
      <c r="E67" s="263" t="s">
        <v>549</v>
      </c>
      <c r="F67" s="264">
        <v>3052.8220000000001</v>
      </c>
      <c r="G67" s="265">
        <v>3.4849566043249069E-4</v>
      </c>
    </row>
    <row r="68" spans="1:7">
      <c r="A68" s="258">
        <v>2013</v>
      </c>
      <c r="B68" s="259" t="s">
        <v>539</v>
      </c>
      <c r="C68" s="259" t="s">
        <v>139</v>
      </c>
      <c r="D68" s="259" t="s">
        <v>543</v>
      </c>
      <c r="E68" s="259" t="s">
        <v>670</v>
      </c>
      <c r="F68" s="260">
        <v>932.19499999999994</v>
      </c>
      <c r="G68" s="261">
        <v>1.0641495646268595E-4</v>
      </c>
    </row>
    <row r="69" spans="1:7">
      <c r="A69" s="262">
        <v>2013</v>
      </c>
      <c r="B69" s="263" t="s">
        <v>539</v>
      </c>
      <c r="C69" s="263" t="s">
        <v>139</v>
      </c>
      <c r="D69" s="263" t="s">
        <v>543</v>
      </c>
      <c r="E69" s="263" t="s">
        <v>550</v>
      </c>
      <c r="F69" s="264">
        <v>26381</v>
      </c>
      <c r="G69" s="265">
        <v>3.0115296622170717E-3</v>
      </c>
    </row>
    <row r="70" spans="1:7">
      <c r="A70" s="258">
        <v>2013</v>
      </c>
      <c r="B70" s="259" t="s">
        <v>539</v>
      </c>
      <c r="C70" s="259" t="s">
        <v>139</v>
      </c>
      <c r="D70" s="259" t="s">
        <v>543</v>
      </c>
      <c r="E70" s="259" t="s">
        <v>541</v>
      </c>
      <c r="F70" s="260">
        <v>570332.91399999999</v>
      </c>
      <c r="G70" s="261">
        <v>6.5106496986572893E-2</v>
      </c>
    </row>
    <row r="71" spans="1:7">
      <c r="A71" s="262">
        <v>2013</v>
      </c>
      <c r="B71" s="263" t="s">
        <v>539</v>
      </c>
      <c r="C71" s="263" t="s">
        <v>139</v>
      </c>
      <c r="D71" s="263" t="s">
        <v>543</v>
      </c>
      <c r="E71" s="263" t="s">
        <v>551</v>
      </c>
      <c r="F71" s="264">
        <v>167650.45669999998</v>
      </c>
      <c r="G71" s="265">
        <v>1.9138179803121602E-2</v>
      </c>
    </row>
    <row r="72" spans="1:7">
      <c r="A72" s="258">
        <v>2013</v>
      </c>
      <c r="B72" s="259" t="s">
        <v>539</v>
      </c>
      <c r="C72" s="259" t="s">
        <v>139</v>
      </c>
      <c r="D72" s="259" t="s">
        <v>543</v>
      </c>
      <c r="E72" s="259" t="s">
        <v>552</v>
      </c>
      <c r="F72" s="260">
        <v>2184253</v>
      </c>
      <c r="G72" s="261">
        <v>0.24934395100717666</v>
      </c>
    </row>
    <row r="73" spans="1:7">
      <c r="A73" s="262">
        <v>2013</v>
      </c>
      <c r="B73" s="263" t="s">
        <v>539</v>
      </c>
      <c r="C73" s="263" t="s">
        <v>139</v>
      </c>
      <c r="D73" s="263" t="s">
        <v>543</v>
      </c>
      <c r="E73" s="263" t="s">
        <v>553</v>
      </c>
      <c r="F73" s="264">
        <v>5984297.8882000083</v>
      </c>
      <c r="G73" s="265">
        <v>0.68313902652948855</v>
      </c>
    </row>
    <row r="74" spans="1:7">
      <c r="A74" s="258">
        <v>2013</v>
      </c>
      <c r="B74" s="259" t="s">
        <v>539</v>
      </c>
      <c r="C74" s="259" t="s">
        <v>139</v>
      </c>
      <c r="D74" s="259" t="s">
        <v>543</v>
      </c>
      <c r="E74" s="259" t="s">
        <v>542</v>
      </c>
      <c r="F74" s="260">
        <v>788104.91760000016</v>
      </c>
      <c r="G74" s="261">
        <v>8.9966312050819397E-2</v>
      </c>
    </row>
    <row r="75" spans="1:7">
      <c r="A75" s="262">
        <v>2013</v>
      </c>
      <c r="B75" s="263" t="s">
        <v>539</v>
      </c>
      <c r="C75" s="263" t="s">
        <v>139</v>
      </c>
      <c r="D75" s="263" t="s">
        <v>554</v>
      </c>
      <c r="E75" s="263" t="s">
        <v>554</v>
      </c>
      <c r="F75" s="264">
        <v>4112184.11</v>
      </c>
      <c r="G75" s="265">
        <v>0.4694274109788239</v>
      </c>
    </row>
    <row r="76" spans="1:7">
      <c r="A76" s="258">
        <v>2013</v>
      </c>
      <c r="B76" s="259" t="s">
        <v>539</v>
      </c>
      <c r="C76" s="259" t="s">
        <v>139</v>
      </c>
      <c r="D76" s="259" t="s">
        <v>555</v>
      </c>
      <c r="E76" s="259" t="s">
        <v>671</v>
      </c>
      <c r="F76" s="260">
        <v>773197.22</v>
      </c>
      <c r="G76" s="261">
        <v>8.8264524936676025E-2</v>
      </c>
    </row>
    <row r="77" spans="1:7">
      <c r="A77" s="262">
        <v>2013</v>
      </c>
      <c r="B77" s="263" t="s">
        <v>539</v>
      </c>
      <c r="C77" s="263" t="s">
        <v>139</v>
      </c>
      <c r="D77" s="263" t="s">
        <v>555</v>
      </c>
      <c r="E77" s="263" t="s">
        <v>672</v>
      </c>
      <c r="F77" s="264">
        <v>7071.19</v>
      </c>
      <c r="G77" s="265">
        <v>8.0721348058432341E-4</v>
      </c>
    </row>
    <row r="78" spans="1:7">
      <c r="A78" s="258">
        <v>2013</v>
      </c>
      <c r="B78" s="259" t="s">
        <v>539</v>
      </c>
      <c r="C78" s="259" t="s">
        <v>139</v>
      </c>
      <c r="D78" s="259" t="s">
        <v>557</v>
      </c>
      <c r="E78" s="259" t="s">
        <v>673</v>
      </c>
      <c r="F78" s="260">
        <v>647719.70399999991</v>
      </c>
      <c r="G78" s="261">
        <v>7.3940605812822469E-2</v>
      </c>
    </row>
    <row r="79" spans="1:7">
      <c r="A79" s="262">
        <v>2013</v>
      </c>
      <c r="B79" s="263" t="s">
        <v>539</v>
      </c>
      <c r="C79" s="263" t="s">
        <v>139</v>
      </c>
      <c r="D79" s="263" t="s">
        <v>557</v>
      </c>
      <c r="E79" s="263" t="s">
        <v>560</v>
      </c>
      <c r="F79" s="264">
        <v>0</v>
      </c>
      <c r="G79" s="265">
        <v>0</v>
      </c>
    </row>
    <row r="80" spans="1:7">
      <c r="A80" s="258">
        <v>2013</v>
      </c>
      <c r="B80" s="259" t="s">
        <v>539</v>
      </c>
      <c r="C80" s="259" t="s">
        <v>139</v>
      </c>
      <c r="D80" s="259" t="s">
        <v>557</v>
      </c>
      <c r="E80" s="259" t="s">
        <v>674</v>
      </c>
      <c r="F80" s="260">
        <v>829213.83000000007</v>
      </c>
      <c r="G80" s="261">
        <v>9.4659113383386284E-2</v>
      </c>
    </row>
    <row r="81" spans="1:8">
      <c r="A81" s="262">
        <v>2013</v>
      </c>
      <c r="B81" s="263" t="s">
        <v>539</v>
      </c>
      <c r="C81" s="263" t="s">
        <v>139</v>
      </c>
      <c r="D81" s="263" t="s">
        <v>542</v>
      </c>
      <c r="E81" s="263" t="s">
        <v>542</v>
      </c>
      <c r="F81" s="264">
        <v>20528944.089000002</v>
      </c>
      <c r="G81" s="265">
        <v>2.3434867858886719</v>
      </c>
    </row>
    <row r="89" spans="1:8">
      <c r="F89" t="s">
        <v>132</v>
      </c>
      <c r="G89" s="270">
        <f>SUM(G2:G81)</f>
        <v>17.665927627732174</v>
      </c>
      <c r="H89" s="270">
        <f>G89/3</f>
        <v>5.8886425425773909</v>
      </c>
    </row>
    <row r="90" spans="1:8">
      <c r="F90" s="263" t="s">
        <v>543</v>
      </c>
      <c r="G90" s="270">
        <f t="shared" ref="G90:G95" si="0">SUMIF($D$2:$D$81,$F90,$G$2:$G$81)</f>
        <v>4.2594436167190111</v>
      </c>
      <c r="H90" s="270">
        <f t="shared" ref="H90:H95" si="1">G90/3</f>
        <v>1.419814538906337</v>
      </c>
    </row>
    <row r="91" spans="1:8">
      <c r="F91" s="263" t="s">
        <v>554</v>
      </c>
      <c r="G91" s="270">
        <f t="shared" si="0"/>
        <v>4.964911301198299</v>
      </c>
      <c r="H91" s="270">
        <f t="shared" si="1"/>
        <v>1.6549704337327664</v>
      </c>
    </row>
    <row r="92" spans="1:8">
      <c r="F92" s="263" t="s">
        <v>557</v>
      </c>
      <c r="G92" s="270">
        <f t="shared" si="0"/>
        <v>5.4447350381669821</v>
      </c>
      <c r="H92" s="270">
        <f t="shared" si="1"/>
        <v>1.8149116793889941</v>
      </c>
    </row>
    <row r="93" spans="1:8">
      <c r="F93" s="263" t="s">
        <v>540</v>
      </c>
      <c r="G93" s="270">
        <f t="shared" si="0"/>
        <v>0.45766373028709495</v>
      </c>
      <c r="H93" s="270">
        <f t="shared" si="1"/>
        <v>0.15255457676236497</v>
      </c>
    </row>
    <row r="94" spans="1:8">
      <c r="F94" s="263" t="s">
        <v>559</v>
      </c>
      <c r="G94" s="270">
        <f t="shared" si="0"/>
        <v>9.9350516684353352E-3</v>
      </c>
      <c r="H94" s="270">
        <f t="shared" si="1"/>
        <v>3.3116838894784451E-3</v>
      </c>
    </row>
    <row r="95" spans="1:8">
      <c r="F95" s="263" t="s">
        <v>555</v>
      </c>
      <c r="G95" s="270">
        <f t="shared" si="0"/>
        <v>0.18575210380367935</v>
      </c>
      <c r="H95" s="270">
        <f t="shared" si="1"/>
        <v>6.1917367934559785E-2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EA20"/>
  <sheetViews>
    <sheetView workbookViewId="0">
      <selection sqref="A1:EA20"/>
    </sheetView>
  </sheetViews>
  <sheetFormatPr defaultRowHeight="12.75"/>
  <sheetData>
    <row r="1" spans="1:131" ht="13.5" thickBot="1">
      <c r="A1" s="24" t="s">
        <v>355</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644</v>
      </c>
      <c r="P2" s="37"/>
      <c r="Q2" s="37"/>
      <c r="R2" s="37"/>
      <c r="S2" s="37"/>
      <c r="T2" s="37"/>
      <c r="U2" s="37"/>
      <c r="V2" s="37"/>
      <c r="W2" s="37"/>
      <c r="X2" s="37"/>
      <c r="Y2" s="37"/>
      <c r="Z2" s="31"/>
      <c r="AA2" s="35"/>
      <c r="AB2" s="36" t="s">
        <v>645</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204">
      <c r="A3" s="27" t="s">
        <v>246</v>
      </c>
      <c r="B3" s="28" t="s">
        <v>247</v>
      </c>
      <c r="C3" s="29" t="s">
        <v>22</v>
      </c>
      <c r="D3" s="29" t="s">
        <v>332</v>
      </c>
      <c r="E3" s="29" t="s">
        <v>333</v>
      </c>
      <c r="F3" s="29" t="s">
        <v>334</v>
      </c>
      <c r="G3" s="29" t="s">
        <v>335</v>
      </c>
      <c r="H3" s="29" t="s">
        <v>336</v>
      </c>
      <c r="I3" s="29" t="s">
        <v>337</v>
      </c>
      <c r="J3" s="29" t="s">
        <v>338</v>
      </c>
      <c r="K3" s="29" t="s">
        <v>21</v>
      </c>
      <c r="L3" s="29" t="s">
        <v>308</v>
      </c>
      <c r="M3" s="29" t="s">
        <v>339</v>
      </c>
      <c r="N3" s="29" t="s">
        <v>646</v>
      </c>
      <c r="O3" s="29" t="s">
        <v>340</v>
      </c>
      <c r="P3" s="29" t="s">
        <v>341</v>
      </c>
      <c r="Q3" s="29" t="s">
        <v>342</v>
      </c>
      <c r="R3" s="29" t="s">
        <v>343</v>
      </c>
      <c r="S3" s="29" t="s">
        <v>344</v>
      </c>
      <c r="T3" s="29" t="s">
        <v>345</v>
      </c>
      <c r="U3" s="29" t="s">
        <v>346</v>
      </c>
      <c r="V3" s="29" t="s">
        <v>347</v>
      </c>
      <c r="W3" s="29" t="s">
        <v>348</v>
      </c>
      <c r="X3" s="29" t="s">
        <v>349</v>
      </c>
      <c r="Y3" s="29" t="s">
        <v>350</v>
      </c>
      <c r="Z3" s="29" t="s">
        <v>351</v>
      </c>
      <c r="AA3" s="29"/>
      <c r="AB3" s="29" t="s">
        <v>340</v>
      </c>
      <c r="AC3" s="29" t="s">
        <v>341</v>
      </c>
      <c r="AD3" s="29" t="s">
        <v>342</v>
      </c>
      <c r="AE3" s="29" t="s">
        <v>343</v>
      </c>
      <c r="AF3" s="29" t="s">
        <v>344</v>
      </c>
      <c r="AG3" s="29" t="s">
        <v>345</v>
      </c>
      <c r="AH3" s="29" t="s">
        <v>346</v>
      </c>
      <c r="AI3" s="29" t="s">
        <v>347</v>
      </c>
      <c r="AJ3" s="29" t="s">
        <v>348</v>
      </c>
      <c r="AK3" s="29" t="s">
        <v>349</v>
      </c>
      <c r="AL3" s="29" t="s">
        <v>350</v>
      </c>
      <c r="AM3" s="29" t="s">
        <v>351</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457</v>
      </c>
      <c r="B4" s="7"/>
      <c r="C4" s="32">
        <v>475.8558221289847</v>
      </c>
      <c r="D4" s="32">
        <v>24.056249999999999</v>
      </c>
      <c r="E4" s="32">
        <v>4.8112500000000002</v>
      </c>
      <c r="F4" s="32">
        <v>28.8675</v>
      </c>
      <c r="G4" s="32">
        <v>58.711868107937185</v>
      </c>
      <c r="H4" s="32">
        <v>229.85562009324167</v>
      </c>
      <c r="I4" s="32">
        <v>531.41999790738078</v>
      </c>
      <c r="J4" s="32">
        <v>3.0488811361882551</v>
      </c>
      <c r="K4" s="32">
        <v>8.927621509866329</v>
      </c>
      <c r="L4" s="30">
        <v>3.9149771162223974</v>
      </c>
      <c r="M4" s="32">
        <v>4.520691420042799</v>
      </c>
      <c r="N4" s="32">
        <v>1.2656936613806523E-3</v>
      </c>
      <c r="O4" s="32">
        <v>0</v>
      </c>
      <c r="P4" s="32">
        <v>1.6670100488217633E-2</v>
      </c>
      <c r="Q4" s="32">
        <v>0.91784148732367676</v>
      </c>
      <c r="R4" s="32">
        <v>11.055894711813686</v>
      </c>
      <c r="S4" s="32">
        <v>43.791868657039302</v>
      </c>
      <c r="T4" s="32">
        <v>58.038677751842876</v>
      </c>
      <c r="U4" s="32">
        <v>56.188612138098122</v>
      </c>
      <c r="V4" s="32">
        <v>56.992665788283695</v>
      </c>
      <c r="W4" s="32">
        <v>26.792919034037585</v>
      </c>
      <c r="X4" s="32">
        <v>15.406669769232435</v>
      </c>
      <c r="Y4" s="32">
        <v>4.354445999786976</v>
      </c>
      <c r="Z4" s="32">
        <v>2.983855931421148E-2</v>
      </c>
      <c r="AA4" s="32"/>
      <c r="AB4" s="32">
        <v>0</v>
      </c>
      <c r="AC4" s="32">
        <v>1.1400318817200092E-2</v>
      </c>
      <c r="AD4" s="32">
        <v>0.33843497771952041</v>
      </c>
      <c r="AE4" s="32">
        <v>7.2863303445774337</v>
      </c>
      <c r="AF4" s="32">
        <v>28.395782165130083</v>
      </c>
      <c r="AG4" s="32">
        <v>42.662797876612025</v>
      </c>
      <c r="AH4" s="32">
        <v>48.392101174574947</v>
      </c>
      <c r="AI4" s="32">
        <v>41.446331562251402</v>
      </c>
      <c r="AJ4" s="32">
        <v>21.445106388919818</v>
      </c>
      <c r="AK4" s="32">
        <v>10.120834305125289</v>
      </c>
      <c r="AL4" s="32">
        <v>2.1485484249689484</v>
      </c>
      <c r="AM4" s="26">
        <v>2.2050593027203646E-2</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461</v>
      </c>
      <c r="B5" s="7"/>
      <c r="C5" s="32">
        <v>724.6747995450213</v>
      </c>
      <c r="D5" s="32">
        <v>64.150000000000006</v>
      </c>
      <c r="E5" s="32">
        <v>12.830000000000002</v>
      </c>
      <c r="F5" s="32">
        <v>76.98</v>
      </c>
      <c r="G5" s="32">
        <v>132.07125797065714</v>
      </c>
      <c r="H5" s="32">
        <v>350.04421017720836</v>
      </c>
      <c r="I5" s="32">
        <v>930.54815818540908</v>
      </c>
      <c r="J5" s="32">
        <v>5.4521942338643594</v>
      </c>
      <c r="K5" s="32">
        <v>13.25918550067858</v>
      </c>
      <c r="L5" s="30">
        <v>2.6504192930075612</v>
      </c>
      <c r="M5" s="32">
        <v>6.88450365904405</v>
      </c>
      <c r="N5" s="32">
        <v>1.9275088329124388E-3</v>
      </c>
      <c r="O5" s="32">
        <v>0</v>
      </c>
      <c r="P5" s="32">
        <v>2.5386684722373709E-2</v>
      </c>
      <c r="Q5" s="32">
        <v>1.3977691664348257</v>
      </c>
      <c r="R5" s="32">
        <v>16.836881911476841</v>
      </c>
      <c r="S5" s="32">
        <v>66.690081669610962</v>
      </c>
      <c r="T5" s="32">
        <v>88.386366646732625</v>
      </c>
      <c r="U5" s="32">
        <v>85.568925175096695</v>
      </c>
      <c r="V5" s="32">
        <v>86.79340828673493</v>
      </c>
      <c r="W5" s="32">
        <v>40.802596768384738</v>
      </c>
      <c r="X5" s="32">
        <v>23.46262209575012</v>
      </c>
      <c r="Y5" s="32">
        <v>6.6313306158727778</v>
      </c>
      <c r="Z5" s="32">
        <v>4.5440763744353789E-2</v>
      </c>
      <c r="AA5" s="32"/>
      <c r="AB5" s="32">
        <v>0</v>
      </c>
      <c r="AC5" s="32">
        <v>1.7361401015630436E-2</v>
      </c>
      <c r="AD5" s="32">
        <v>0.51539833754821374</v>
      </c>
      <c r="AE5" s="32">
        <v>11.096260119823038</v>
      </c>
      <c r="AF5" s="32">
        <v>43.243576712742154</v>
      </c>
      <c r="AG5" s="32">
        <v>64.97063409026309</v>
      </c>
      <c r="AH5" s="32">
        <v>73.695717457759443</v>
      </c>
      <c r="AI5" s="32">
        <v>63.11809296011883</v>
      </c>
      <c r="AJ5" s="32">
        <v>32.65848068030926</v>
      </c>
      <c r="AK5" s="32">
        <v>15.412890271009475</v>
      </c>
      <c r="AL5" s="32">
        <v>3.2719971612643342</v>
      </c>
      <c r="AM5" s="26">
        <v>3.358056860656896E-2</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458</v>
      </c>
      <c r="B6" s="7"/>
      <c r="C6" s="32">
        <v>287.81138859551851</v>
      </c>
      <c r="D6" s="32">
        <v>24.056249999999999</v>
      </c>
      <c r="E6" s="32">
        <v>4.8112500000000002</v>
      </c>
      <c r="F6" s="32">
        <v>28.8675</v>
      </c>
      <c r="G6" s="32">
        <v>55.498807416402428</v>
      </c>
      <c r="H6" s="32">
        <v>139.02333883305511</v>
      </c>
      <c r="I6" s="32">
        <v>878.62853945431937</v>
      </c>
      <c r="J6" s="32">
        <v>5.1395650782671716</v>
      </c>
      <c r="K6" s="32">
        <v>14.037789073160434</v>
      </c>
      <c r="L6" s="30">
        <v>2.5049788509863973</v>
      </c>
      <c r="M6" s="32">
        <v>2.7342451526455993</v>
      </c>
      <c r="N6" s="32">
        <v>7.6552819841252276E-4</v>
      </c>
      <c r="O6" s="32">
        <v>0</v>
      </c>
      <c r="P6" s="32">
        <v>1.008255977214933E-2</v>
      </c>
      <c r="Q6" s="32">
        <v>0.55513712492856548</v>
      </c>
      <c r="R6" s="32">
        <v>6.6869254534631617</v>
      </c>
      <c r="S6" s="32">
        <v>26.48659098250705</v>
      </c>
      <c r="T6" s="32">
        <v>35.10347390785504</v>
      </c>
      <c r="U6" s="32">
        <v>33.984500621151476</v>
      </c>
      <c r="V6" s="32">
        <v>34.47081556530798</v>
      </c>
      <c r="W6" s="32">
        <v>16.205133725617088</v>
      </c>
      <c r="X6" s="32">
        <v>9.3184002668637156</v>
      </c>
      <c r="Y6" s="32">
        <v>2.6336951057061651</v>
      </c>
      <c r="Z6" s="32">
        <v>1.8047225210969745E-2</v>
      </c>
      <c r="AA6" s="32"/>
      <c r="AB6" s="32">
        <v>0</v>
      </c>
      <c r="AC6" s="32">
        <v>6.895243131690835E-3</v>
      </c>
      <c r="AD6" s="32">
        <v>0.20469528028669567</v>
      </c>
      <c r="AE6" s="32">
        <v>4.406983705392304</v>
      </c>
      <c r="AF6" s="32">
        <v>17.174591788406634</v>
      </c>
      <c r="AG6" s="32">
        <v>25.803696260985042</v>
      </c>
      <c r="AH6" s="32">
        <v>29.268944895527603</v>
      </c>
      <c r="AI6" s="32">
        <v>25.067942188355659</v>
      </c>
      <c r="AJ6" s="32">
        <v>12.970621691165579</v>
      </c>
      <c r="AK6" s="32">
        <v>6.1213738272045468</v>
      </c>
      <c r="AL6" s="32">
        <v>1.2995043391260872</v>
      </c>
      <c r="AM6" s="26">
        <v>1.3336837553274469E-2</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463</v>
      </c>
      <c r="B7" s="7"/>
      <c r="C7" s="32">
        <v>429.10735973962136</v>
      </c>
      <c r="D7" s="32">
        <v>49.322923996876881</v>
      </c>
      <c r="E7" s="32">
        <v>9.8645847993753772</v>
      </c>
      <c r="F7" s="32">
        <v>59.18750879625226</v>
      </c>
      <c r="G7" s="32">
        <v>101.54545002429683</v>
      </c>
      <c r="H7" s="32">
        <v>207.27441731875922</v>
      </c>
      <c r="I7" s="32">
        <v>1208.2817161881831</v>
      </c>
      <c r="J7" s="32">
        <v>7.1245410237959286</v>
      </c>
      <c r="K7" s="32">
        <v>17.261624981414094</v>
      </c>
      <c r="L7" s="30">
        <v>2.0411984709227697</v>
      </c>
      <c r="M7" s="32">
        <v>4.0765750238657521</v>
      </c>
      <c r="N7" s="32">
        <v>1.1413508882676007E-3</v>
      </c>
      <c r="O7" s="32">
        <v>0</v>
      </c>
      <c r="P7" s="32">
        <v>1.503241627913568E-2</v>
      </c>
      <c r="Q7" s="32">
        <v>0.82767199426676985</v>
      </c>
      <c r="R7" s="32">
        <v>9.9697546372768056</v>
      </c>
      <c r="S7" s="32">
        <v>39.489719918553064</v>
      </c>
      <c r="T7" s="32">
        <v>52.336910918621349</v>
      </c>
      <c r="U7" s="32">
        <v>50.668597253134905</v>
      </c>
      <c r="V7" s="32">
        <v>51.393660019786552</v>
      </c>
      <c r="W7" s="32">
        <v>24.160760910679677</v>
      </c>
      <c r="X7" s="32">
        <v>13.893106019964959</v>
      </c>
      <c r="Y7" s="32">
        <v>3.9266616886970982</v>
      </c>
      <c r="Z7" s="32">
        <v>2.690719501648707E-2</v>
      </c>
      <c r="AA7" s="32"/>
      <c r="AB7" s="32">
        <v>0</v>
      </c>
      <c r="AC7" s="32">
        <v>1.0280342238857062E-2</v>
      </c>
      <c r="AD7" s="32">
        <v>0.30518685067889434</v>
      </c>
      <c r="AE7" s="32">
        <v>6.5705153345897527</v>
      </c>
      <c r="AF7" s="32">
        <v>25.606157466152837</v>
      </c>
      <c r="AG7" s="32">
        <v>38.471569968468025</v>
      </c>
      <c r="AH7" s="32">
        <v>43.63802185790184</v>
      </c>
      <c r="AI7" s="32">
        <v>37.374610292673651</v>
      </c>
      <c r="AJ7" s="32">
        <v>19.338321722562263</v>
      </c>
      <c r="AK7" s="32">
        <v>9.1265553242664996</v>
      </c>
      <c r="AL7" s="32">
        <v>1.9374732829500674</v>
      </c>
      <c r="AM7" s="26">
        <v>1.9884324861809691E-2</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460</v>
      </c>
      <c r="B8" s="7"/>
      <c r="C8" s="32">
        <v>501.3959711335944</v>
      </c>
      <c r="D8" s="32">
        <v>64.150000000000006</v>
      </c>
      <c r="E8" s="32">
        <v>12.830000000000002</v>
      </c>
      <c r="F8" s="32">
        <v>76.98</v>
      </c>
      <c r="G8" s="32">
        <v>132.07125797065714</v>
      </c>
      <c r="H8" s="32">
        <v>242.19243833466521</v>
      </c>
      <c r="I8" s="32">
        <v>1344.9346201872936</v>
      </c>
      <c r="J8" s="32">
        <v>7.9473837763287651</v>
      </c>
      <c r="K8" s="32">
        <v>19.230940400322673</v>
      </c>
      <c r="L8" s="30">
        <v>1.8338012528696757</v>
      </c>
      <c r="M8" s="32">
        <v>4.7633261154746762</v>
      </c>
      <c r="N8" s="32">
        <v>1.3336260123209538E-3</v>
      </c>
      <c r="O8" s="32">
        <v>0</v>
      </c>
      <c r="P8" s="32">
        <v>1.7564818658284471E-2</v>
      </c>
      <c r="Q8" s="32">
        <v>0.96710390517953138</v>
      </c>
      <c r="R8" s="32">
        <v>11.649287048710342</v>
      </c>
      <c r="S8" s="32">
        <v>46.142267241398564</v>
      </c>
      <c r="T8" s="32">
        <v>61.153731532588253</v>
      </c>
      <c r="U8" s="32">
        <v>59.204369137663136</v>
      </c>
      <c r="V8" s="32">
        <v>60.051577981246488</v>
      </c>
      <c r="W8" s="32">
        <v>28.230949446981192</v>
      </c>
      <c r="X8" s="32">
        <v>16.233577045076071</v>
      </c>
      <c r="Y8" s="32">
        <v>4.5881579656709217</v>
      </c>
      <c r="Z8" s="32">
        <v>3.1440055430321363E-2</v>
      </c>
      <c r="AA8" s="32"/>
      <c r="AB8" s="32">
        <v>0</v>
      </c>
      <c r="AC8" s="32">
        <v>1.2012197095769148E-2</v>
      </c>
      <c r="AD8" s="32">
        <v>0.35659947073897402</v>
      </c>
      <c r="AE8" s="32">
        <v>7.6774025014015947</v>
      </c>
      <c r="AF8" s="32">
        <v>29.919841499646914</v>
      </c>
      <c r="AG8" s="32">
        <v>44.952596937695844</v>
      </c>
      <c r="AH8" s="32">
        <v>50.989403586711411</v>
      </c>
      <c r="AI8" s="32">
        <v>43.670840404148962</v>
      </c>
      <c r="AJ8" s="32">
        <v>22.596108829411673</v>
      </c>
      <c r="AK8" s="32">
        <v>10.664040049771616</v>
      </c>
      <c r="AL8" s="32">
        <v>2.263865385202446</v>
      </c>
      <c r="AM8" s="26">
        <v>2.3234093166037997E-2</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462</v>
      </c>
      <c r="B9" s="7"/>
      <c r="C9" s="32">
        <v>166.60065195306746</v>
      </c>
      <c r="D9" s="32">
        <v>24.056249999999999</v>
      </c>
      <c r="E9" s="32">
        <v>4.8112500000000002</v>
      </c>
      <c r="F9" s="32">
        <v>28.8675</v>
      </c>
      <c r="G9" s="32">
        <v>55.402679642468442</v>
      </c>
      <c r="H9" s="32">
        <v>80.47415704883548</v>
      </c>
      <c r="I9" s="32">
        <v>1517.87701329787</v>
      </c>
      <c r="J9" s="32">
        <v>8.9887403125765992</v>
      </c>
      <c r="K9" s="32">
        <v>24.318433949444213</v>
      </c>
      <c r="L9" s="30">
        <v>1.4525318552850053</v>
      </c>
      <c r="M9" s="32">
        <v>1.5827275885543786</v>
      </c>
      <c r="N9" s="32">
        <v>4.4312873637957688E-4</v>
      </c>
      <c r="O9" s="32">
        <v>0</v>
      </c>
      <c r="P9" s="32">
        <v>5.8363257951426504E-3</v>
      </c>
      <c r="Q9" s="32">
        <v>0.32134311080520794</v>
      </c>
      <c r="R9" s="32">
        <v>3.8707507216615777</v>
      </c>
      <c r="S9" s="32">
        <v>15.331857947780396</v>
      </c>
      <c r="T9" s="32">
        <v>20.31977145659484</v>
      </c>
      <c r="U9" s="32">
        <v>19.672049766384479</v>
      </c>
      <c r="V9" s="32">
        <v>19.953554911633809</v>
      </c>
      <c r="W9" s="32">
        <v>9.3803996320265348</v>
      </c>
      <c r="X9" s="32">
        <v>5.3939893316761758</v>
      </c>
      <c r="Y9" s="32">
        <v>1.5245238341589453</v>
      </c>
      <c r="Z9" s="32">
        <v>1.0446700878528795E-2</v>
      </c>
      <c r="AA9" s="32"/>
      <c r="AB9" s="32">
        <v>0</v>
      </c>
      <c r="AC9" s="32">
        <v>3.9913361549741358E-3</v>
      </c>
      <c r="AD9" s="32">
        <v>0.11848859530505175</v>
      </c>
      <c r="AE9" s="32">
        <v>2.5509982841461993</v>
      </c>
      <c r="AF9" s="32">
        <v>9.9415738999735233</v>
      </c>
      <c r="AG9" s="32">
        <v>14.936561895125701</v>
      </c>
      <c r="AH9" s="32">
        <v>16.942433464390131</v>
      </c>
      <c r="AI9" s="32">
        <v>14.510668017974627</v>
      </c>
      <c r="AJ9" s="32">
        <v>7.5080907692004768</v>
      </c>
      <c r="AK9" s="32">
        <v>3.5433791395028931</v>
      </c>
      <c r="AL9" s="32">
        <v>0.75222273576709087</v>
      </c>
      <c r="AM9" s="26">
        <v>7.7200761311440229E-3</v>
      </c>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467</v>
      </c>
      <c r="B10" s="7"/>
      <c r="C10" s="32">
        <v>431.17402560129892</v>
      </c>
      <c r="D10" s="32">
        <v>48.908368968785467</v>
      </c>
      <c r="E10" s="32">
        <v>9.7816737937570934</v>
      </c>
      <c r="F10" s="32">
        <v>58.690042762542561</v>
      </c>
      <c r="G10" s="32">
        <v>166.07842668413218</v>
      </c>
      <c r="H10" s="32">
        <v>208.27269188233652</v>
      </c>
      <c r="I10" s="32">
        <v>1192.3834555731737</v>
      </c>
      <c r="J10" s="32">
        <v>7.0288111260615667</v>
      </c>
      <c r="K10" s="32">
        <v>28.191001493484816</v>
      </c>
      <c r="L10" s="30">
        <v>1.254062288767068</v>
      </c>
      <c r="M10" s="32">
        <v>4.0962086149547092</v>
      </c>
      <c r="N10" s="32">
        <v>1.1468478597444107E-3</v>
      </c>
      <c r="O10" s="32">
        <v>0</v>
      </c>
      <c r="P10" s="32">
        <v>1.5104815367236773E-2</v>
      </c>
      <c r="Q10" s="32">
        <v>0.8316582261884401</v>
      </c>
      <c r="R10" s="32">
        <v>10.017770946227238</v>
      </c>
      <c r="S10" s="32">
        <v>39.679910215201446</v>
      </c>
      <c r="T10" s="32">
        <v>52.588975826496174</v>
      </c>
      <c r="U10" s="32">
        <v>50.912627232638599</v>
      </c>
      <c r="V10" s="32">
        <v>51.64118204489003</v>
      </c>
      <c r="W10" s="32">
        <v>24.277123910830863</v>
      </c>
      <c r="X10" s="32">
        <v>13.96001796466232</v>
      </c>
      <c r="Y10" s="32">
        <v>3.9455732675320823</v>
      </c>
      <c r="Z10" s="32">
        <v>2.7036785386150775E-2</v>
      </c>
      <c r="AA10" s="32"/>
      <c r="AB10" s="32">
        <v>0</v>
      </c>
      <c r="AC10" s="32">
        <v>1.0329854399087313E-2</v>
      </c>
      <c r="AD10" s="32">
        <v>0.3066566908748623</v>
      </c>
      <c r="AE10" s="32">
        <v>6.602160235166302</v>
      </c>
      <c r="AF10" s="32">
        <v>25.729481781811625</v>
      </c>
      <c r="AG10" s="32">
        <v>38.656856653709731</v>
      </c>
      <c r="AH10" s="32">
        <v>43.848191196641665</v>
      </c>
      <c r="AI10" s="32">
        <v>37.554613803292163</v>
      </c>
      <c r="AJ10" s="32">
        <v>19.431458902382268</v>
      </c>
      <c r="AK10" s="32">
        <v>9.170510618659069</v>
      </c>
      <c r="AL10" s="32">
        <v>1.94680453724087</v>
      </c>
      <c r="AM10" s="26">
        <v>1.9980091700671051E-2</v>
      </c>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464</v>
      </c>
      <c r="B11" s="7"/>
      <c r="C11" s="32">
        <v>286.81995996501684</v>
      </c>
      <c r="D11" s="32">
        <v>64.150000000000006</v>
      </c>
      <c r="E11" s="32">
        <v>12.830000000000002</v>
      </c>
      <c r="F11" s="32">
        <v>76.98</v>
      </c>
      <c r="G11" s="32">
        <v>132.07125797065714</v>
      </c>
      <c r="H11" s="32">
        <v>138.54444284808514</v>
      </c>
      <c r="I11" s="32">
        <v>2351.1083401665956</v>
      </c>
      <c r="J11" s="32">
        <v>14.005965255719461</v>
      </c>
      <c r="K11" s="32">
        <v>33.730986596697171</v>
      </c>
      <c r="L11" s="30">
        <v>1.0490128206310125</v>
      </c>
      <c r="M11" s="32">
        <v>2.7248264533357101</v>
      </c>
      <c r="N11" s="32">
        <v>7.6289117081932648E-4</v>
      </c>
      <c r="O11" s="32">
        <v>0</v>
      </c>
      <c r="P11" s="32">
        <v>1.0047828212444092E-2</v>
      </c>
      <c r="Q11" s="32">
        <v>0.55322483493130603</v>
      </c>
      <c r="R11" s="32">
        <v>6.6638908912210448</v>
      </c>
      <c r="S11" s="32">
        <v>26.395352186319769</v>
      </c>
      <c r="T11" s="32">
        <v>34.98255239313616</v>
      </c>
      <c r="U11" s="32">
        <v>33.867433652142608</v>
      </c>
      <c r="V11" s="32">
        <v>34.35207337920145</v>
      </c>
      <c r="W11" s="32">
        <v>16.149311634576542</v>
      </c>
      <c r="X11" s="32">
        <v>9.2863010199919156</v>
      </c>
      <c r="Y11" s="32">
        <v>2.6246227727990097</v>
      </c>
      <c r="Z11" s="32">
        <v>1.7985057637050661E-2</v>
      </c>
      <c r="AA11" s="32"/>
      <c r="AB11" s="32">
        <v>0</v>
      </c>
      <c r="AC11" s="32">
        <v>6.8714909741115692E-3</v>
      </c>
      <c r="AD11" s="32">
        <v>0.20399016308339418</v>
      </c>
      <c r="AE11" s="32">
        <v>4.3918028960400353</v>
      </c>
      <c r="AF11" s="32">
        <v>17.115430189210379</v>
      </c>
      <c r="AG11" s="32">
        <v>25.714809843492155</v>
      </c>
      <c r="AH11" s="32">
        <v>29.168121678991227</v>
      </c>
      <c r="AI11" s="32">
        <v>24.981590235034506</v>
      </c>
      <c r="AJ11" s="32">
        <v>12.925941577001995</v>
      </c>
      <c r="AK11" s="32">
        <v>6.1002874299639451</v>
      </c>
      <c r="AL11" s="32">
        <v>1.295027915126475</v>
      </c>
      <c r="AM11" s="26">
        <v>1.3290895929299162E-2</v>
      </c>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t="s">
        <v>469</v>
      </c>
      <c r="B12" s="7"/>
      <c r="C12" s="32">
        <v>419.25144960011363</v>
      </c>
      <c r="D12" s="32">
        <v>78.916678395003004</v>
      </c>
      <c r="E12" s="32">
        <v>15.783335679000601</v>
      </c>
      <c r="F12" s="32">
        <v>94.700014074003604</v>
      </c>
      <c r="G12" s="32">
        <v>227.85917766610063</v>
      </c>
      <c r="H12" s="32">
        <v>202.5136552741462</v>
      </c>
      <c r="I12" s="32">
        <v>1978.698282568912</v>
      </c>
      <c r="J12" s="32">
        <v>11.763532728514758</v>
      </c>
      <c r="K12" s="32">
        <v>39.839966914364851</v>
      </c>
      <c r="L12" s="115">
        <v>0.88876672578404914</v>
      </c>
      <c r="M12" s="32">
        <v>3.9829426118359033</v>
      </c>
      <c r="N12" s="32">
        <v>1.1151358827751789E-3</v>
      </c>
      <c r="O12" s="32">
        <v>0</v>
      </c>
      <c r="P12" s="32">
        <v>1.4687145706016787E-2</v>
      </c>
      <c r="Q12" s="32">
        <v>0.80866169156436385</v>
      </c>
      <c r="R12" s="32">
        <v>9.7407653095767071</v>
      </c>
      <c r="S12" s="32">
        <v>38.582704175015706</v>
      </c>
      <c r="T12" s="32">
        <v>51.134815733616016</v>
      </c>
      <c r="U12" s="32">
        <v>49.504820566282397</v>
      </c>
      <c r="V12" s="32">
        <v>50.213229800172549</v>
      </c>
      <c r="W12" s="32">
        <v>23.605826852726715</v>
      </c>
      <c r="X12" s="32">
        <v>13.574003582350009</v>
      </c>
      <c r="Y12" s="32">
        <v>3.8364725463446354</v>
      </c>
      <c r="Z12" s="32">
        <v>2.6289179757206446E-2</v>
      </c>
      <c r="AA12" s="32"/>
      <c r="AB12" s="32">
        <v>0</v>
      </c>
      <c r="AC12" s="32">
        <v>1.0044219210412521E-2</v>
      </c>
      <c r="AD12" s="32">
        <v>0.29817719654973729</v>
      </c>
      <c r="AE12" s="32">
        <v>6.4196011001024464</v>
      </c>
      <c r="AF12" s="32">
        <v>25.018024959738536</v>
      </c>
      <c r="AG12" s="32">
        <v>37.5879395018056</v>
      </c>
      <c r="AH12" s="32">
        <v>42.635726249739051</v>
      </c>
      <c r="AI12" s="32">
        <v>36.516175236311</v>
      </c>
      <c r="AJ12" s="32">
        <v>18.894151384253181</v>
      </c>
      <c r="AK12" s="32">
        <v>8.916932936960448</v>
      </c>
      <c r="AL12" s="32">
        <v>1.8929726186267151</v>
      </c>
      <c r="AM12" s="26">
        <v>1.9427613704159789E-2</v>
      </c>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465</v>
      </c>
      <c r="B13" s="7"/>
      <c r="C13" s="32">
        <v>431.17402560129892</v>
      </c>
      <c r="D13" s="32">
        <v>18.340638363294548</v>
      </c>
      <c r="E13" s="32">
        <v>3.66812767265891</v>
      </c>
      <c r="F13" s="32">
        <v>22.008766035953457</v>
      </c>
      <c r="G13" s="32">
        <v>246.99615280346234</v>
      </c>
      <c r="H13" s="32">
        <v>208.27269188233652</v>
      </c>
      <c r="I13" s="32">
        <v>447.14379583994008</v>
      </c>
      <c r="J13" s="32">
        <v>2.5414198232355649</v>
      </c>
      <c r="K13" s="32">
        <v>41.999968562337358</v>
      </c>
      <c r="L13" s="115">
        <v>0.84322241265053821</v>
      </c>
      <c r="M13" s="32">
        <v>4.0962086149547092</v>
      </c>
      <c r="N13" s="32">
        <v>1.1468478597444107E-3</v>
      </c>
      <c r="O13" s="32">
        <v>0</v>
      </c>
      <c r="P13" s="32">
        <v>1.5104815367236773E-2</v>
      </c>
      <c r="Q13" s="32">
        <v>0.8316582261884401</v>
      </c>
      <c r="R13" s="32">
        <v>10.017770946227238</v>
      </c>
      <c r="S13" s="32">
        <v>39.679910215201446</v>
      </c>
      <c r="T13" s="32">
        <v>52.588975826496174</v>
      </c>
      <c r="U13" s="32">
        <v>50.912627232638599</v>
      </c>
      <c r="V13" s="32">
        <v>51.64118204489003</v>
      </c>
      <c r="W13" s="32">
        <v>24.277123910830863</v>
      </c>
      <c r="X13" s="32">
        <v>13.96001796466232</v>
      </c>
      <c r="Y13" s="32">
        <v>3.9455732675320823</v>
      </c>
      <c r="Z13" s="32">
        <v>2.7036785386150775E-2</v>
      </c>
      <c r="AA13" s="32"/>
      <c r="AB13" s="32">
        <v>0</v>
      </c>
      <c r="AC13" s="32">
        <v>1.0329854399087313E-2</v>
      </c>
      <c r="AD13" s="32">
        <v>0.3066566908748623</v>
      </c>
      <c r="AE13" s="32">
        <v>6.602160235166302</v>
      </c>
      <c r="AF13" s="32">
        <v>25.729481781811625</v>
      </c>
      <c r="AG13" s="32">
        <v>38.656856653709731</v>
      </c>
      <c r="AH13" s="32">
        <v>43.848191196641665</v>
      </c>
      <c r="AI13" s="32">
        <v>37.554613803292163</v>
      </c>
      <c r="AJ13" s="32">
        <v>19.431458902382268</v>
      </c>
      <c r="AK13" s="32">
        <v>9.170510618659069</v>
      </c>
      <c r="AL13" s="32">
        <v>1.94680453724087</v>
      </c>
      <c r="AM13" s="26">
        <v>1.9980091700671051E-2</v>
      </c>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466</v>
      </c>
      <c r="B14" s="7"/>
      <c r="C14" s="32">
        <v>419.25144960011363</v>
      </c>
      <c r="D14" s="32">
        <v>38.489999999999995</v>
      </c>
      <c r="E14" s="32">
        <v>7.6979999999999995</v>
      </c>
      <c r="F14" s="32">
        <v>46.187999999999995</v>
      </c>
      <c r="G14" s="32">
        <v>288.47941918951665</v>
      </c>
      <c r="H14" s="32">
        <v>202.5136552741462</v>
      </c>
      <c r="I14" s="32">
        <v>965.06972220589375</v>
      </c>
      <c r="J14" s="32">
        <v>5.6600626210633571</v>
      </c>
      <c r="K14" s="32">
        <v>50.479270561118348</v>
      </c>
      <c r="L14" s="115">
        <v>0.70200382350709323</v>
      </c>
      <c r="M14" s="32">
        <v>3.9829426118359033</v>
      </c>
      <c r="N14" s="32">
        <v>1.1151358827751789E-3</v>
      </c>
      <c r="O14" s="32">
        <v>0</v>
      </c>
      <c r="P14" s="32">
        <v>1.4687145706016787E-2</v>
      </c>
      <c r="Q14" s="32">
        <v>0.80866169156436385</v>
      </c>
      <c r="R14" s="32">
        <v>9.7407653095767071</v>
      </c>
      <c r="S14" s="32">
        <v>38.582704175015706</v>
      </c>
      <c r="T14" s="32">
        <v>51.134815733616016</v>
      </c>
      <c r="U14" s="32">
        <v>49.504820566282397</v>
      </c>
      <c r="V14" s="32">
        <v>50.213229800172549</v>
      </c>
      <c r="W14" s="32">
        <v>23.605826852726715</v>
      </c>
      <c r="X14" s="32">
        <v>13.574003582350009</v>
      </c>
      <c r="Y14" s="32">
        <v>3.8364725463446354</v>
      </c>
      <c r="Z14" s="32">
        <v>2.6289179757206446E-2</v>
      </c>
      <c r="AA14" s="32"/>
      <c r="AB14" s="32">
        <v>0</v>
      </c>
      <c r="AC14" s="32">
        <v>1.0044219210412521E-2</v>
      </c>
      <c r="AD14" s="32">
        <v>0.29817719654973729</v>
      </c>
      <c r="AE14" s="32">
        <v>6.4196011001024464</v>
      </c>
      <c r="AF14" s="32">
        <v>25.018024959738536</v>
      </c>
      <c r="AG14" s="32">
        <v>37.5879395018056</v>
      </c>
      <c r="AH14" s="32">
        <v>42.635726249739051</v>
      </c>
      <c r="AI14" s="32">
        <v>36.516175236311</v>
      </c>
      <c r="AJ14" s="32">
        <v>18.894151384253181</v>
      </c>
      <c r="AK14" s="32">
        <v>8.916932936960448</v>
      </c>
      <c r="AL14" s="32">
        <v>1.8929726186267151</v>
      </c>
      <c r="AM14" s="26">
        <v>1.9427613704159789E-2</v>
      </c>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t="s">
        <v>468</v>
      </c>
      <c r="B15" s="7"/>
      <c r="C15" s="32">
        <v>272.53397519140287</v>
      </c>
      <c r="D15" s="32">
        <v>38.489999999999995</v>
      </c>
      <c r="E15" s="32">
        <v>7.6979999999999995</v>
      </c>
      <c r="F15" s="32">
        <v>46.187999999999995</v>
      </c>
      <c r="G15" s="32">
        <v>288.47941918951665</v>
      </c>
      <c r="H15" s="32">
        <v>131.64379408836143</v>
      </c>
      <c r="I15" s="32">
        <v>1484.6107892267053</v>
      </c>
      <c r="J15" s="32">
        <v>8.7884308381341878</v>
      </c>
      <c r="K15" s="32">
        <v>77.735863486119598</v>
      </c>
      <c r="L15" s="115">
        <v>0.45633686610370633</v>
      </c>
      <c r="M15" s="32">
        <v>2.5891077633678172</v>
      </c>
      <c r="N15" s="32">
        <v>7.2489293788052139E-4</v>
      </c>
      <c r="O15" s="32">
        <v>0</v>
      </c>
      <c r="P15" s="32">
        <v>9.5473640157808844E-3</v>
      </c>
      <c r="Q15" s="32">
        <v>0.52566970393840817</v>
      </c>
      <c r="R15" s="32">
        <v>6.3319745077984253</v>
      </c>
      <c r="S15" s="32">
        <v>25.080647311966064</v>
      </c>
      <c r="T15" s="32">
        <v>33.240134568060625</v>
      </c>
      <c r="U15" s="32">
        <v>32.180557879846624</v>
      </c>
      <c r="V15" s="32">
        <v>32.641058576405996</v>
      </c>
      <c r="W15" s="32">
        <v>15.344943555925228</v>
      </c>
      <c r="X15" s="32">
        <v>8.8237671189657068</v>
      </c>
      <c r="Y15" s="32">
        <v>2.4938950473880572</v>
      </c>
      <c r="Z15" s="32">
        <v>1.7089254361759731E-2</v>
      </c>
      <c r="AA15" s="32"/>
      <c r="AB15" s="32">
        <v>0</v>
      </c>
      <c r="AC15" s="32">
        <v>6.5292344050772626E-3</v>
      </c>
      <c r="AD15" s="32">
        <v>0.19382978106489085</v>
      </c>
      <c r="AE15" s="32">
        <v>4.1730551167390608</v>
      </c>
      <c r="AF15" s="32">
        <v>16.262941488261063</v>
      </c>
      <c r="AG15" s="32">
        <v>24.434001555514865</v>
      </c>
      <c r="AH15" s="32">
        <v>27.715310158371071</v>
      </c>
      <c r="AI15" s="32">
        <v>23.737302293003221</v>
      </c>
      <c r="AJ15" s="32">
        <v>12.282123745857339</v>
      </c>
      <c r="AK15" s="32">
        <v>5.7964431181881428</v>
      </c>
      <c r="AL15" s="32">
        <v>1.2305249109451815</v>
      </c>
      <c r="AM15" s="26">
        <v>1.2628900380255732E-2</v>
      </c>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c r="A16" s="7" t="s">
        <v>471</v>
      </c>
      <c r="B16" s="7"/>
      <c r="C16" s="32">
        <v>272.53397519140287</v>
      </c>
      <c r="D16" s="32">
        <v>166.79</v>
      </c>
      <c r="E16" s="32">
        <v>33.357999999999997</v>
      </c>
      <c r="F16" s="32">
        <v>200.148</v>
      </c>
      <c r="G16" s="32">
        <v>408.77172835093427</v>
      </c>
      <c r="H16" s="32">
        <v>131.64379408836143</v>
      </c>
      <c r="I16" s="32">
        <v>6433.3134199823899</v>
      </c>
      <c r="J16" s="32">
        <v>38.586583493448245</v>
      </c>
      <c r="K16" s="32">
        <v>110.21371749662713</v>
      </c>
      <c r="L16" s="115">
        <v>0.32204720864487973</v>
      </c>
      <c r="M16" s="32">
        <v>2.5891077633678172</v>
      </c>
      <c r="N16" s="32">
        <v>7.2489293788052139E-4</v>
      </c>
      <c r="O16" s="32">
        <v>0</v>
      </c>
      <c r="P16" s="32">
        <v>9.5473640157808844E-3</v>
      </c>
      <c r="Q16" s="32">
        <v>0.52566970393840817</v>
      </c>
      <c r="R16" s="32">
        <v>6.3319745077984253</v>
      </c>
      <c r="S16" s="32">
        <v>25.080647311966064</v>
      </c>
      <c r="T16" s="32">
        <v>33.240134568060625</v>
      </c>
      <c r="U16" s="32">
        <v>32.180557879846624</v>
      </c>
      <c r="V16" s="32">
        <v>32.641058576405996</v>
      </c>
      <c r="W16" s="32">
        <v>15.344943555925228</v>
      </c>
      <c r="X16" s="32">
        <v>8.8237671189657068</v>
      </c>
      <c r="Y16" s="32">
        <v>2.4938950473880572</v>
      </c>
      <c r="Z16" s="32">
        <v>1.7089254361759731E-2</v>
      </c>
      <c r="AA16" s="32"/>
      <c r="AB16" s="32">
        <v>0</v>
      </c>
      <c r="AC16" s="32">
        <v>6.5292344050772626E-3</v>
      </c>
      <c r="AD16" s="32">
        <v>0.19382978106489085</v>
      </c>
      <c r="AE16" s="32">
        <v>4.1730551167390608</v>
      </c>
      <c r="AF16" s="32">
        <v>16.262941488261063</v>
      </c>
      <c r="AG16" s="32">
        <v>24.434001555514865</v>
      </c>
      <c r="AH16" s="32">
        <v>27.715310158371071</v>
      </c>
      <c r="AI16" s="32">
        <v>23.737302293003221</v>
      </c>
      <c r="AJ16" s="32">
        <v>12.282123745857339</v>
      </c>
      <c r="AK16" s="32">
        <v>5.7964431181881428</v>
      </c>
      <c r="AL16" s="32">
        <v>1.2305249109451815</v>
      </c>
      <c r="AM16" s="26">
        <v>1.2628900380255732E-2</v>
      </c>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t="s">
        <v>470</v>
      </c>
      <c r="B17" s="7"/>
      <c r="C17" s="32">
        <v>202.83432959591843</v>
      </c>
      <c r="D17" s="32">
        <v>64.150000000000006</v>
      </c>
      <c r="E17" s="32">
        <v>12.830000000000002</v>
      </c>
      <c r="F17" s="32">
        <v>76.98</v>
      </c>
      <c r="G17" s="32">
        <v>341.30792237777956</v>
      </c>
      <c r="H17" s="32">
        <v>97.976337447919931</v>
      </c>
      <c r="I17" s="32">
        <v>3324.6088142150948</v>
      </c>
      <c r="J17" s="32">
        <v>19.867807823392212</v>
      </c>
      <c r="K17" s="32">
        <v>123.66448698155362</v>
      </c>
      <c r="L17" s="115">
        <v>0.28706142173715499</v>
      </c>
      <c r="M17" s="32">
        <v>1.9269521793217717</v>
      </c>
      <c r="N17" s="32">
        <v>5.3950401222654422E-4</v>
      </c>
      <c r="O17" s="32">
        <v>0</v>
      </c>
      <c r="P17" s="32">
        <v>7.1056578475731987E-3</v>
      </c>
      <c r="Q17" s="32">
        <v>0.39123144889494649</v>
      </c>
      <c r="R17" s="32">
        <v>4.7125933689762363</v>
      </c>
      <c r="S17" s="32">
        <v>18.666356294775785</v>
      </c>
      <c r="T17" s="32">
        <v>24.739082186195535</v>
      </c>
      <c r="U17" s="32">
        <v>23.950488664751425</v>
      </c>
      <c r="V17" s="32">
        <v>24.29321786025622</v>
      </c>
      <c r="W17" s="32">
        <v>11.42052596072611</v>
      </c>
      <c r="X17" s="32">
        <v>6.5671184182777669</v>
      </c>
      <c r="Y17" s="32">
        <v>1.8560897945449806</v>
      </c>
      <c r="Z17" s="32">
        <v>1.2718735157065307E-2</v>
      </c>
      <c r="AA17" s="32"/>
      <c r="AB17" s="32">
        <v>0</v>
      </c>
      <c r="AC17" s="32">
        <v>4.8594047123788802E-3</v>
      </c>
      <c r="AD17" s="32">
        <v>0.1442584678494096</v>
      </c>
      <c r="AE17" s="32">
        <v>3.1058103356696116</v>
      </c>
      <c r="AF17" s="32">
        <v>12.103749015925036</v>
      </c>
      <c r="AG17" s="32">
        <v>18.18508801105553</v>
      </c>
      <c r="AH17" s="32">
        <v>20.627212998188707</v>
      </c>
      <c r="AI17" s="32">
        <v>17.666567236747397</v>
      </c>
      <c r="AJ17" s="32">
        <v>9.1410119940292507</v>
      </c>
      <c r="AK17" s="32">
        <v>4.3140223272817666</v>
      </c>
      <c r="AL17" s="32">
        <v>0.91582231238271161</v>
      </c>
      <c r="AM17" s="26">
        <v>9.3991016729704831E-3</v>
      </c>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t="s">
        <v>472</v>
      </c>
      <c r="B18" s="7"/>
      <c r="C18" s="32">
        <v>202.83432959591843</v>
      </c>
      <c r="D18" s="32">
        <v>166.79</v>
      </c>
      <c r="E18" s="32">
        <v>33.357999999999997</v>
      </c>
      <c r="F18" s="32">
        <v>200.148</v>
      </c>
      <c r="G18" s="32">
        <v>408.77172835093427</v>
      </c>
      <c r="H18" s="32">
        <v>97.976337447919931</v>
      </c>
      <c r="I18" s="32">
        <v>8643.9829169592449</v>
      </c>
      <c r="J18" s="32">
        <v>51.897924274355788</v>
      </c>
      <c r="K18" s="32">
        <v>148.13817906920514</v>
      </c>
      <c r="L18" s="115">
        <v>0.23968472047510669</v>
      </c>
      <c r="M18" s="32">
        <v>1.9269521793217717</v>
      </c>
      <c r="N18" s="32">
        <v>5.3950401222654422E-4</v>
      </c>
      <c r="O18" s="32">
        <v>0</v>
      </c>
      <c r="P18" s="32">
        <v>7.1056578475731987E-3</v>
      </c>
      <c r="Q18" s="32">
        <v>0.39123144889494649</v>
      </c>
      <c r="R18" s="32">
        <v>4.7125933689762363</v>
      </c>
      <c r="S18" s="32">
        <v>18.666356294775785</v>
      </c>
      <c r="T18" s="32">
        <v>24.739082186195535</v>
      </c>
      <c r="U18" s="32">
        <v>23.950488664751425</v>
      </c>
      <c r="V18" s="32">
        <v>24.29321786025622</v>
      </c>
      <c r="W18" s="32">
        <v>11.42052596072611</v>
      </c>
      <c r="X18" s="32">
        <v>6.5671184182777669</v>
      </c>
      <c r="Y18" s="32">
        <v>1.8560897945449806</v>
      </c>
      <c r="Z18" s="32">
        <v>1.2718735157065307E-2</v>
      </c>
      <c r="AA18" s="32"/>
      <c r="AB18" s="32">
        <v>0</v>
      </c>
      <c r="AC18" s="32">
        <v>4.8594047123788802E-3</v>
      </c>
      <c r="AD18" s="32">
        <v>0.1442584678494096</v>
      </c>
      <c r="AE18" s="32">
        <v>3.1058103356696116</v>
      </c>
      <c r="AF18" s="32">
        <v>12.103749015925036</v>
      </c>
      <c r="AG18" s="32">
        <v>18.18508801105553</v>
      </c>
      <c r="AH18" s="32">
        <v>20.627212998188707</v>
      </c>
      <c r="AI18" s="32">
        <v>17.666567236747397</v>
      </c>
      <c r="AJ18" s="32">
        <v>9.1410119940292507</v>
      </c>
      <c r="AK18" s="32">
        <v>4.3140223272817666</v>
      </c>
      <c r="AL18" s="32">
        <v>0.91582231238271161</v>
      </c>
      <c r="AM18" s="26">
        <v>9.3991016729704831E-3</v>
      </c>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t="s">
        <v>459</v>
      </c>
      <c r="B19" s="7"/>
      <c r="C19" s="32">
        <v>257.72032972258603</v>
      </c>
      <c r="D19" s="32">
        <v>341.97227304501308</v>
      </c>
      <c r="E19" s="32">
        <v>68.394454609002622</v>
      </c>
      <c r="F19" s="32">
        <v>410.36672765401568</v>
      </c>
      <c r="G19" s="32">
        <v>716.09602638126341</v>
      </c>
      <c r="H19" s="32">
        <v>124.48826607602712</v>
      </c>
      <c r="I19" s="32">
        <v>13948.501998731286</v>
      </c>
      <c r="J19" s="32">
        <v>83.838592598072097</v>
      </c>
      <c r="K19" s="32">
        <v>204.30161429755307</v>
      </c>
      <c r="L19" s="115">
        <v>0.17384297844120022</v>
      </c>
      <c r="M19" s="32">
        <v>2.448376229032859</v>
      </c>
      <c r="N19" s="32">
        <v>6.8549121933489973E-4</v>
      </c>
      <c r="O19" s="32">
        <v>0</v>
      </c>
      <c r="P19" s="32">
        <v>9.0284148990985007E-3</v>
      </c>
      <c r="Q19" s="32">
        <v>0.49709680904567954</v>
      </c>
      <c r="R19" s="32">
        <v>5.9877986104255001</v>
      </c>
      <c r="S19" s="32">
        <v>23.717383090883295</v>
      </c>
      <c r="T19" s="32">
        <v>31.433359583469471</v>
      </c>
      <c r="U19" s="32">
        <v>30.431376424264844</v>
      </c>
      <c r="V19" s="32">
        <v>30.866846501973182</v>
      </c>
      <c r="W19" s="32">
        <v>14.510865700432765</v>
      </c>
      <c r="X19" s="32">
        <v>8.3441492742255754</v>
      </c>
      <c r="Y19" s="32">
        <v>2.3583388216275849</v>
      </c>
      <c r="Z19" s="32">
        <v>1.6160364100412508E-2</v>
      </c>
      <c r="AA19" s="32"/>
      <c r="AB19" s="32">
        <v>0</v>
      </c>
      <c r="AC19" s="32">
        <v>6.1743364016570027E-3</v>
      </c>
      <c r="AD19" s="32">
        <v>0.18329411975522436</v>
      </c>
      <c r="AE19" s="32">
        <v>3.9462277680468878</v>
      </c>
      <c r="AF19" s="32">
        <v>15.378965648852358</v>
      </c>
      <c r="AG19" s="32">
        <v>23.105885909846428</v>
      </c>
      <c r="AH19" s="32">
        <v>26.208838246177141</v>
      </c>
      <c r="AI19" s="32">
        <v>22.447055892319693</v>
      </c>
      <c r="AJ19" s="32">
        <v>11.614526149456792</v>
      </c>
      <c r="AK19" s="32">
        <v>5.4813761498488835</v>
      </c>
      <c r="AL19" s="32">
        <v>1.1636394528716065</v>
      </c>
      <c r="AM19" s="26">
        <v>1.1942453661960421E-2</v>
      </c>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c r="B20" s="7"/>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140"/>
  <sheetViews>
    <sheetView workbookViewId="0">
      <selection activeCell="A26" sqref="A26:EA140"/>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307" t="s">
        <v>4</v>
      </c>
      <c r="J6" s="308"/>
      <c r="K6" s="308"/>
      <c r="L6" s="308"/>
      <c r="M6" s="308"/>
      <c r="N6" s="309"/>
      <c r="O6" s="310" t="s">
        <v>5</v>
      </c>
      <c r="P6" s="311"/>
      <c r="Q6" s="91" t="s">
        <v>121</v>
      </c>
      <c r="R6" s="312" t="s">
        <v>122</v>
      </c>
      <c r="S6" s="312"/>
      <c r="T6" s="312"/>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2" t="s">
        <v>123</v>
      </c>
      <c r="R7" s="93" t="s">
        <v>124</v>
      </c>
      <c r="S7" s="93" t="s">
        <v>125</v>
      </c>
      <c r="T7" s="93" t="s">
        <v>126</v>
      </c>
    </row>
    <row r="8" spans="1:20">
      <c r="A8" t="str">
        <f>Increment!B7</f>
        <v>Convert High Pressure Center Pivot to Low pressure system - Idaho</v>
      </c>
      <c r="B8" t="str">
        <f>Increment!C7</f>
        <v>Convert High Pressure Center Pivot to Low pressure system - Idaho</v>
      </c>
      <c r="C8">
        <f>Increment!D7</f>
        <v>468.93794237430774</v>
      </c>
      <c r="D8">
        <f>Increment!E7</f>
        <v>10</v>
      </c>
      <c r="E8">
        <f>Increment!F7</f>
        <v>64.150000000000006</v>
      </c>
      <c r="F8">
        <f>Increment!G7</f>
        <v>0</v>
      </c>
      <c r="G8" t="str">
        <f>Increment!H7</f>
        <v>A-Irr-Irr-Irrigation-All-All-E</v>
      </c>
      <c r="H8">
        <f>Increment!I7</f>
        <v>0</v>
      </c>
      <c r="I8">
        <f>Increment!J7</f>
        <v>0</v>
      </c>
      <c r="J8">
        <f>Increment!K7</f>
        <v>0</v>
      </c>
      <c r="K8">
        <f>Increment!L7</f>
        <v>0</v>
      </c>
      <c r="L8">
        <f>Increment!M7</f>
        <v>0</v>
      </c>
      <c r="M8">
        <f>Increment!N7</f>
        <v>0</v>
      </c>
      <c r="N8">
        <f>Increment!O7</f>
        <v>0</v>
      </c>
      <c r="O8">
        <f>Increment!P7</f>
        <v>0</v>
      </c>
      <c r="Q8" t="s">
        <v>127</v>
      </c>
    </row>
    <row r="9" spans="1:20">
      <c r="A9" t="str">
        <f>Increment!B8</f>
        <v>Convert Medium Pressure Center Pivot to Low pressure system - Idaho</v>
      </c>
      <c r="B9" t="str">
        <f>Increment!C8</f>
        <v>Convert Medium Pressure Center Pivot to Low pressure system - Idaho</v>
      </c>
      <c r="C9">
        <f>Increment!D8</f>
        <v>269.17982618554754</v>
      </c>
      <c r="D9">
        <f>Increment!E8</f>
        <v>10</v>
      </c>
      <c r="E9">
        <f>Increment!F8</f>
        <v>24.056249999999999</v>
      </c>
      <c r="F9">
        <f>Increment!G8</f>
        <v>0</v>
      </c>
      <c r="G9" t="str">
        <f>Increment!H8</f>
        <v>A-Irr-Irr-Irrigation-All-All-E</v>
      </c>
      <c r="H9">
        <f>Increment!I8</f>
        <v>0</v>
      </c>
      <c r="I9">
        <f>Increment!J8</f>
        <v>4.5098801515939018</v>
      </c>
      <c r="J9">
        <f>Increment!K8</f>
        <v>5</v>
      </c>
      <c r="K9">
        <f>Increment!L8</f>
        <v>0</v>
      </c>
      <c r="L9">
        <f>Increment!M8</f>
        <v>0</v>
      </c>
      <c r="M9">
        <f>Increment!N8</f>
        <v>0</v>
      </c>
      <c r="N9">
        <f>Increment!O8</f>
        <v>0</v>
      </c>
      <c r="O9">
        <f>Increment!P8</f>
        <v>0</v>
      </c>
      <c r="Q9" t="s">
        <v>127</v>
      </c>
    </row>
    <row r="10" spans="1:20">
      <c r="A10" t="str">
        <f>Increment!B9</f>
        <v>Convert wheel line systems to low pressure systems on alfalfa acreage - Idaho</v>
      </c>
      <c r="B10" t="str">
        <f>Increment!C9</f>
        <v>Convert wheel line systems to low pressure systems on alfalfa acreage - Idaho</v>
      </c>
      <c r="C10">
        <f>Increment!D9</f>
        <v>254.89140103061385</v>
      </c>
      <c r="D10">
        <f>Increment!E9</f>
        <v>10</v>
      </c>
      <c r="E10">
        <f>Increment!F9</f>
        <v>166.79</v>
      </c>
      <c r="F10">
        <f>Increment!G9</f>
        <v>4.8112499999999994</v>
      </c>
      <c r="G10" t="str">
        <f>Increment!H9</f>
        <v>A-Irr-Irr-Irrigation-All-All-E</v>
      </c>
      <c r="H10">
        <f>Increment!I9</f>
        <v>0</v>
      </c>
      <c r="I10">
        <f>Increment!J9</f>
        <v>0</v>
      </c>
      <c r="J10">
        <f>Increment!K9</f>
        <v>0</v>
      </c>
      <c r="K10">
        <f>Increment!L9</f>
        <v>0</v>
      </c>
      <c r="L10">
        <f>Increment!M9</f>
        <v>0</v>
      </c>
      <c r="M10">
        <f>Increment!N9</f>
        <v>0</v>
      </c>
      <c r="N10">
        <f>Increment!O9</f>
        <v>0</v>
      </c>
      <c r="O10">
        <f>Increment!P9</f>
        <v>0</v>
      </c>
      <c r="Q10" t="s">
        <v>127</v>
      </c>
    </row>
    <row r="11" spans="1:20">
      <c r="A11" t="str">
        <f>Increment!B10</f>
        <v>Convert hand line systems to low pressure systems on alfalfa acreage - Idaho</v>
      </c>
      <c r="B11" t="str">
        <f>Increment!C10</f>
        <v>Convert hand line systems to low pressure systems on alfalfa acreage - Idaho</v>
      </c>
      <c r="C11">
        <f>Increment!D10</f>
        <v>254.89140103061385</v>
      </c>
      <c r="D11">
        <f>Increment!E10</f>
        <v>10</v>
      </c>
      <c r="E11">
        <f>Increment!F10</f>
        <v>38.489999999999995</v>
      </c>
      <c r="F11">
        <f>Increment!G10</f>
        <v>15.395999999999999</v>
      </c>
      <c r="G11" t="str">
        <f>Increment!H10</f>
        <v>A-Irr-Irr-Irrigation-All-All-E</v>
      </c>
      <c r="H11">
        <f>Increment!I10</f>
        <v>0</v>
      </c>
      <c r="I11">
        <f>Increment!J10</f>
        <v>0</v>
      </c>
      <c r="J11">
        <f>Increment!K10</f>
        <v>0</v>
      </c>
      <c r="K11">
        <f>Increment!L10</f>
        <v>0</v>
      </c>
      <c r="L11">
        <f>Increment!M10</f>
        <v>0</v>
      </c>
      <c r="M11">
        <f>Increment!N10</f>
        <v>0</v>
      </c>
      <c r="N11">
        <f>Increment!O10</f>
        <v>0</v>
      </c>
      <c r="O11">
        <f>Increment!P10</f>
        <v>0</v>
      </c>
      <c r="Q11" t="s">
        <v>127</v>
      </c>
    </row>
    <row r="12" spans="1:20">
      <c r="A12" t="str">
        <f>Increment!B11</f>
        <v>Convert High Pressure Center Pivot to Low pressure system - Montana</v>
      </c>
      <c r="B12" t="str">
        <f>Increment!C11</f>
        <v>Convert High Pressure Center Pivot to Low pressure system - Montana</v>
      </c>
      <c r="C12">
        <f>Increment!D11</f>
        <v>268.2525780049383</v>
      </c>
      <c r="D12">
        <f>Increment!E11</f>
        <v>10</v>
      </c>
      <c r="E12">
        <f>Increment!F11</f>
        <v>64.150000000000006</v>
      </c>
      <c r="F12">
        <f>Increment!G11</f>
        <v>0</v>
      </c>
      <c r="G12" t="str">
        <f>Increment!H11</f>
        <v>A-Irr-Irr-Irrigation-All-All-E</v>
      </c>
      <c r="H12">
        <f>Increment!I11</f>
        <v>0</v>
      </c>
      <c r="I12">
        <f>Increment!J11</f>
        <v>0</v>
      </c>
      <c r="J12">
        <f>Increment!K11</f>
        <v>0</v>
      </c>
      <c r="K12">
        <f>Increment!L11</f>
        <v>0</v>
      </c>
      <c r="L12">
        <f>Increment!M11</f>
        <v>0</v>
      </c>
      <c r="M12">
        <f>Increment!N11</f>
        <v>0</v>
      </c>
      <c r="N12">
        <f>Increment!O11</f>
        <v>0</v>
      </c>
      <c r="O12">
        <f>Increment!P11</f>
        <v>0</v>
      </c>
      <c r="Q12" t="s">
        <v>127</v>
      </c>
    </row>
    <row r="13" spans="1:20">
      <c r="A13" t="str">
        <f>Increment!B12</f>
        <v>Convert Medium Pressure Center Pivot to Low pressure system - Montana</v>
      </c>
      <c r="B13" t="str">
        <f>Increment!C12</f>
        <v>Convert Medium Pressure Center Pivot to Low pressure system - Montana</v>
      </c>
      <c r="C13">
        <f>Increment!D12</f>
        <v>155.81570539639128</v>
      </c>
      <c r="D13">
        <f>Increment!E12</f>
        <v>10</v>
      </c>
      <c r="E13">
        <f>Increment!F12</f>
        <v>24.056249999999999</v>
      </c>
      <c r="F13">
        <f>Increment!G12</f>
        <v>0</v>
      </c>
      <c r="G13" t="str">
        <f>Increment!H12</f>
        <v>A-Irr-Irr-Irrigation-All-All-E</v>
      </c>
      <c r="H13">
        <f>Increment!I12</f>
        <v>0</v>
      </c>
      <c r="I13">
        <f>Increment!J12</f>
        <v>4.437288302933398</v>
      </c>
      <c r="J13">
        <f>Increment!K12</f>
        <v>5</v>
      </c>
      <c r="K13">
        <f>Increment!L12</f>
        <v>0</v>
      </c>
      <c r="L13">
        <f>Increment!M12</f>
        <v>0</v>
      </c>
      <c r="M13">
        <f>Increment!N12</f>
        <v>0</v>
      </c>
      <c r="N13">
        <f>Increment!O12</f>
        <v>0</v>
      </c>
      <c r="O13">
        <f>Increment!P12</f>
        <v>0</v>
      </c>
      <c r="Q13" t="s">
        <v>127</v>
      </c>
    </row>
    <row r="14" spans="1:20">
      <c r="A14" t="str">
        <f>Increment!B13</f>
        <v>Convert wheel line systems to low pressure systems on alfalfa acreage - Montana</v>
      </c>
      <c r="B14" t="str">
        <f>Increment!C13</f>
        <v>Convert wheel line systems to low pressure systems on alfalfa acreage - Montana</v>
      </c>
      <c r="C14">
        <f>Increment!D13</f>
        <v>189.70378431349377</v>
      </c>
      <c r="D14">
        <f>Increment!E13</f>
        <v>10</v>
      </c>
      <c r="E14">
        <f>Increment!F13</f>
        <v>166.79</v>
      </c>
      <c r="F14">
        <f>Increment!G13</f>
        <v>4.8112499999999994</v>
      </c>
      <c r="G14" t="str">
        <f>Increment!H13</f>
        <v>A-Irr-Irr-Irrigation-All-All-E</v>
      </c>
      <c r="H14">
        <f>Increment!I13</f>
        <v>0</v>
      </c>
      <c r="I14">
        <f>Increment!J13</f>
        <v>0</v>
      </c>
      <c r="J14">
        <f>Increment!K13</f>
        <v>0</v>
      </c>
      <c r="K14">
        <f>Increment!L13</f>
        <v>0</v>
      </c>
      <c r="L14">
        <f>Increment!M13</f>
        <v>0</v>
      </c>
      <c r="M14">
        <f>Increment!N13</f>
        <v>0</v>
      </c>
      <c r="N14">
        <f>Increment!O13</f>
        <v>0</v>
      </c>
      <c r="O14">
        <f>Increment!P13</f>
        <v>0</v>
      </c>
      <c r="Q14" t="s">
        <v>127</v>
      </c>
    </row>
    <row r="15" spans="1:20">
      <c r="A15" t="str">
        <f>Increment!B14</f>
        <v>Convert hand line systems to low pressure systems on alfalfa acreage - Montana</v>
      </c>
      <c r="B15" t="str">
        <f>Increment!C14</f>
        <v>Convert hand line systems to low pressure systems on alfalfa acreage - Montana</v>
      </c>
      <c r="C15">
        <f>Increment!D14</f>
        <v>189.70378431349377</v>
      </c>
      <c r="D15">
        <f>Increment!E14</f>
        <v>10</v>
      </c>
      <c r="E15">
        <f>Increment!F14</f>
        <v>64.150000000000006</v>
      </c>
      <c r="F15">
        <f>Increment!G14</f>
        <v>15.395999999999999</v>
      </c>
      <c r="G15" t="str">
        <f>Increment!H14</f>
        <v>A-Irr-Irr-Irrigation-All-All-E</v>
      </c>
      <c r="H15">
        <f>Increment!I14</f>
        <v>0</v>
      </c>
      <c r="I15">
        <f>Increment!J14</f>
        <v>0</v>
      </c>
      <c r="J15">
        <f>Increment!K14</f>
        <v>0</v>
      </c>
      <c r="K15">
        <f>Increment!L14</f>
        <v>0</v>
      </c>
      <c r="L15">
        <f>Increment!M14</f>
        <v>0</v>
      </c>
      <c r="M15">
        <f>Increment!N14</f>
        <v>0</v>
      </c>
      <c r="N15">
        <f>Increment!O14</f>
        <v>0</v>
      </c>
      <c r="O15">
        <f>Increment!P14</f>
        <v>0</v>
      </c>
      <c r="Q15" t="s">
        <v>127</v>
      </c>
    </row>
    <row r="16" spans="1:20">
      <c r="A16" t="str">
        <f>Increment!B15</f>
        <v>Convert High Pressure Center Pivot to Low pressure system - Oregon</v>
      </c>
      <c r="B16" t="str">
        <f>Increment!C15</f>
        <v>Convert High Pressure Center Pivot to Low pressure system - Oregon</v>
      </c>
      <c r="C16">
        <f>Increment!D15</f>
        <v>401.32895738875931</v>
      </c>
      <c r="D16">
        <f>Increment!E15</f>
        <v>10</v>
      </c>
      <c r="E16">
        <f>Increment!F15</f>
        <v>49.322923996876881</v>
      </c>
      <c r="F16">
        <f>Increment!G15</f>
        <v>0</v>
      </c>
      <c r="G16" t="str">
        <f>Increment!H15</f>
        <v>A-Irr-Irr-Irrigation-All-All-E</v>
      </c>
      <c r="H16">
        <f>Increment!I15</f>
        <v>0</v>
      </c>
      <c r="I16">
        <f>Increment!J15</f>
        <v>0</v>
      </c>
      <c r="J16">
        <f>Increment!K15</f>
        <v>0</v>
      </c>
      <c r="K16">
        <f>Increment!L15</f>
        <v>0</v>
      </c>
      <c r="L16">
        <f>Increment!M15</f>
        <v>0</v>
      </c>
      <c r="M16">
        <f>Increment!N15</f>
        <v>0</v>
      </c>
      <c r="N16">
        <f>Increment!O15</f>
        <v>0</v>
      </c>
      <c r="O16">
        <f>Increment!P15</f>
        <v>0</v>
      </c>
      <c r="Q16" t="s">
        <v>127</v>
      </c>
    </row>
    <row r="17" spans="1:131">
      <c r="A17" t="str">
        <f>Increment!B16</f>
        <v>Convert Medium Pressure Center Pivot to Low pressure system - Oregon</v>
      </c>
      <c r="B17" t="str">
        <f>Increment!C16</f>
        <v>Convert Medium Pressure Center Pivot to Low pressure system - Oregon</v>
      </c>
      <c r="C17">
        <f>Increment!D16</f>
        <v>241.03672164516954</v>
      </c>
      <c r="D17">
        <f>Increment!E16</f>
        <v>10</v>
      </c>
      <c r="E17">
        <f>Increment!F16</f>
        <v>341.97227304501308</v>
      </c>
      <c r="F17">
        <f>Increment!G16</f>
        <v>0</v>
      </c>
      <c r="G17" t="str">
        <f>Increment!H16</f>
        <v>A-Irr-Irr-Irrigation-All-All-E</v>
      </c>
      <c r="H17">
        <f>Increment!I16</f>
        <v>0</v>
      </c>
      <c r="I17">
        <f>Increment!J16</f>
        <v>9.0978449973630475</v>
      </c>
      <c r="J17">
        <f>Increment!K16</f>
        <v>5</v>
      </c>
      <c r="K17">
        <f>Increment!L16</f>
        <v>0</v>
      </c>
      <c r="L17">
        <f>Increment!M16</f>
        <v>0</v>
      </c>
      <c r="M17">
        <f>Increment!N16</f>
        <v>0</v>
      </c>
      <c r="N17">
        <f>Increment!O16</f>
        <v>0</v>
      </c>
      <c r="O17">
        <f>Increment!P16</f>
        <v>0</v>
      </c>
      <c r="Q17" t="s">
        <v>127</v>
      </c>
    </row>
    <row r="18" spans="1:131">
      <c r="A18" t="str">
        <f>Increment!B17</f>
        <v>Convert wheel line systems to low pressure systems on alfalfa acreage - Oregon</v>
      </c>
      <c r="B18" t="str">
        <f>Increment!C17</f>
        <v>Convert wheel line systems to low pressure systems on alfalfa acreage - Oregon</v>
      </c>
      <c r="C18">
        <f>Increment!D17</f>
        <v>392.11107274840714</v>
      </c>
      <c r="D18">
        <f>Increment!E17</f>
        <v>10</v>
      </c>
      <c r="E18">
        <f>Increment!F17</f>
        <v>78.916678395003004</v>
      </c>
      <c r="F18">
        <f>Increment!G17</f>
        <v>4.8112499999999994</v>
      </c>
      <c r="G18" t="str">
        <f>Increment!H17</f>
        <v>A-Irr-Irr-Irrigation-All-All-E</v>
      </c>
      <c r="H18">
        <f>Increment!I17</f>
        <v>0</v>
      </c>
      <c r="I18">
        <f>Increment!J17</f>
        <v>0</v>
      </c>
      <c r="J18">
        <f>Increment!K17</f>
        <v>0</v>
      </c>
      <c r="K18">
        <f>Increment!L17</f>
        <v>0</v>
      </c>
      <c r="L18">
        <f>Increment!M17</f>
        <v>0</v>
      </c>
      <c r="M18">
        <f>Increment!N17</f>
        <v>0</v>
      </c>
      <c r="N18">
        <f>Increment!O17</f>
        <v>0</v>
      </c>
      <c r="O18">
        <f>Increment!P17</f>
        <v>0</v>
      </c>
      <c r="Q18" t="s">
        <v>127</v>
      </c>
    </row>
    <row r="19" spans="1:131">
      <c r="A19" t="str">
        <f>Increment!B18</f>
        <v>Convert hand line systems to low pressure systems on alfalfa acreage - Oregon</v>
      </c>
      <c r="B19" t="str">
        <f>Increment!C18</f>
        <v>Convert hand line systems to low pressure systems on alfalfa acreage - Oregon</v>
      </c>
      <c r="C19">
        <f>Increment!D18</f>
        <v>392.11107274840714</v>
      </c>
      <c r="D19">
        <f>Increment!E18</f>
        <v>10</v>
      </c>
      <c r="E19">
        <f>Increment!F18</f>
        <v>38.489999999999995</v>
      </c>
      <c r="F19">
        <f>Increment!G18</f>
        <v>15.395999999999999</v>
      </c>
      <c r="G19" t="str">
        <f>Increment!H18</f>
        <v>A-Irr-Irr-Irrigation-All-All-E</v>
      </c>
      <c r="H19">
        <f>Increment!I18</f>
        <v>0</v>
      </c>
      <c r="I19">
        <f>Increment!J18</f>
        <v>0</v>
      </c>
      <c r="J19">
        <f>Increment!K18</f>
        <v>0</v>
      </c>
      <c r="K19">
        <f>Increment!L18</f>
        <v>0</v>
      </c>
      <c r="L19">
        <f>Increment!M18</f>
        <v>0</v>
      </c>
      <c r="M19">
        <f>Increment!N18</f>
        <v>0</v>
      </c>
      <c r="N19">
        <f>Increment!O18</f>
        <v>0</v>
      </c>
      <c r="O19">
        <f>Increment!P18</f>
        <v>0</v>
      </c>
      <c r="Q19" t="s">
        <v>127</v>
      </c>
    </row>
    <row r="20" spans="1:131">
      <c r="A20" t="str">
        <f>Increment!B19</f>
        <v>Convert High Pressure Center Pivot to Low pressure system - Washington</v>
      </c>
      <c r="B20" t="str">
        <f>Increment!C19</f>
        <v>Convert High Pressure Center Pivot to Low pressure system - Washington</v>
      </c>
      <c r="C20">
        <f>Increment!D19</f>
        <v>677.76274432530477</v>
      </c>
      <c r="D20">
        <f>Increment!E19</f>
        <v>10</v>
      </c>
      <c r="E20">
        <f>Increment!F19</f>
        <v>64.150000000000006</v>
      </c>
      <c r="F20">
        <f>Increment!G19</f>
        <v>0</v>
      </c>
      <c r="G20" t="str">
        <f>Increment!H19</f>
        <v>A-Irr-Irr-Irrigation-All-All-E</v>
      </c>
      <c r="H20">
        <f>Increment!I19</f>
        <v>0</v>
      </c>
      <c r="I20">
        <f>Increment!J19</f>
        <v>0</v>
      </c>
      <c r="J20">
        <f>Increment!K19</f>
        <v>0</v>
      </c>
      <c r="K20">
        <f>Increment!L19</f>
        <v>0</v>
      </c>
      <c r="L20">
        <f>Increment!M19</f>
        <v>0</v>
      </c>
      <c r="M20">
        <f>Increment!N19</f>
        <v>0</v>
      </c>
      <c r="N20">
        <f>Increment!O19</f>
        <v>0</v>
      </c>
      <c r="O20">
        <f>Increment!P19</f>
        <v>0</v>
      </c>
      <c r="Q20" t="s">
        <v>127</v>
      </c>
    </row>
    <row r="21" spans="1:131">
      <c r="A21" t="str">
        <f>Increment!B20</f>
        <v>Convert Medium Pressure Center Pivot to Low pressure system - Washington</v>
      </c>
      <c r="B21" t="str">
        <f>Increment!C20</f>
        <v>Convert Medium Pressure Center Pivot to Low pressure system - Washington</v>
      </c>
      <c r="C21">
        <f>Increment!D20</f>
        <v>445.05114309453501</v>
      </c>
      <c r="D21">
        <f>Increment!E20</f>
        <v>10</v>
      </c>
      <c r="E21">
        <f>Increment!F20</f>
        <v>24.056249999999999</v>
      </c>
      <c r="F21">
        <f>Increment!G20</f>
        <v>0</v>
      </c>
      <c r="G21" t="str">
        <f>Increment!H20</f>
        <v>A-Irr-Irr-Irrigation-All-All-E</v>
      </c>
      <c r="H21">
        <f>Increment!I20</f>
        <v>0</v>
      </c>
      <c r="I21">
        <f>Increment!J20</f>
        <v>6.936255026529242</v>
      </c>
      <c r="J21">
        <f>Increment!K20</f>
        <v>5</v>
      </c>
      <c r="K21">
        <f>Increment!L20</f>
        <v>0</v>
      </c>
      <c r="L21">
        <f>Increment!M20</f>
        <v>0</v>
      </c>
      <c r="M21">
        <f>Increment!N20</f>
        <v>0</v>
      </c>
      <c r="N21">
        <f>Increment!O20</f>
        <v>0</v>
      </c>
      <c r="O21">
        <f>Increment!P20</f>
        <v>0</v>
      </c>
      <c r="Q21" t="s">
        <v>127</v>
      </c>
    </row>
    <row r="22" spans="1:131">
      <c r="A22" t="str">
        <f>Increment!B21</f>
        <v>Convert wheel line systems to low pressure systems on alfalfa acreage - Washington</v>
      </c>
      <c r="B22" t="str">
        <f>Increment!C21</f>
        <v>Convert wheel line systems to low pressure systems on alfalfa acreage - Washington</v>
      </c>
      <c r="C22">
        <f>Increment!D21</f>
        <v>403.26183697404838</v>
      </c>
      <c r="D22">
        <f>Increment!E21</f>
        <v>10</v>
      </c>
      <c r="E22">
        <f>Increment!F21</f>
        <v>48.908368968785467</v>
      </c>
      <c r="F22">
        <f>Increment!G21</f>
        <v>4.8112499999999994</v>
      </c>
      <c r="G22" t="str">
        <f>Increment!H21</f>
        <v>A-Irr-Irr-Irrigation-All-All-E</v>
      </c>
      <c r="H22">
        <f>Increment!I21</f>
        <v>0</v>
      </c>
      <c r="I22">
        <f>Increment!J21</f>
        <v>0</v>
      </c>
      <c r="J22">
        <f>Increment!K21</f>
        <v>0</v>
      </c>
      <c r="K22">
        <f>Increment!L21</f>
        <v>0</v>
      </c>
      <c r="L22">
        <f>Increment!M21</f>
        <v>0</v>
      </c>
      <c r="M22">
        <f>Increment!N21</f>
        <v>0</v>
      </c>
      <c r="N22">
        <f>Increment!O21</f>
        <v>0</v>
      </c>
      <c r="O22">
        <f>Increment!P21</f>
        <v>0</v>
      </c>
      <c r="Q22" t="s">
        <v>127</v>
      </c>
    </row>
    <row r="23" spans="1:131">
      <c r="A23" t="str">
        <f>Increment!B22</f>
        <v>Convert hand line systems to low pressure systems on alfalfa acreage - Washington</v>
      </c>
      <c r="B23" t="str">
        <f>Increment!C22</f>
        <v>Convert hand line systems to low pressure systems on alfalfa acreage - Washington</v>
      </c>
      <c r="C23">
        <f>Increment!D22</f>
        <v>403.26183697404838</v>
      </c>
      <c r="D23">
        <f>Increment!E22</f>
        <v>10</v>
      </c>
      <c r="E23">
        <f>Increment!F22</f>
        <v>18.340638363294548</v>
      </c>
      <c r="F23">
        <f>Increment!G22</f>
        <v>15.395999999999999</v>
      </c>
      <c r="G23" t="str">
        <f>Increment!H22</f>
        <v>A-Irr-Irr-Irrigation-All-All-E</v>
      </c>
      <c r="H23">
        <f>Increment!I22</f>
        <v>0</v>
      </c>
      <c r="I23">
        <f>Increment!J22</f>
        <v>0</v>
      </c>
      <c r="J23">
        <f>Increment!K22</f>
        <v>0</v>
      </c>
      <c r="K23">
        <f>Increment!L22</f>
        <v>0</v>
      </c>
      <c r="L23">
        <f>Increment!M22</f>
        <v>0</v>
      </c>
      <c r="M23">
        <f>Increment!N22</f>
        <v>0</v>
      </c>
      <c r="N23">
        <f>Increment!O22</f>
        <v>0</v>
      </c>
      <c r="O23">
        <f>Increment!P22</f>
        <v>0</v>
      </c>
      <c r="Q23" t="s">
        <v>127</v>
      </c>
    </row>
    <row r="26" spans="1: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96" t="s">
        <v>154</v>
      </c>
      <c r="B27" s="9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t="s">
        <v>155</v>
      </c>
      <c r="B28" s="7" t="s">
        <v>156</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t="s">
        <v>157</v>
      </c>
      <c r="B29" s="7" t="s">
        <v>687</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ht="13.5" thickBot="1">
      <c r="A31" s="24" t="s">
        <v>158</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25"/>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99" t="s">
        <v>159</v>
      </c>
      <c r="C32" s="100"/>
      <c r="D32" s="100" t="s">
        <v>159</v>
      </c>
      <c r="E32" s="101"/>
      <c r="F32" s="7"/>
      <c r="G32" s="99" t="s">
        <v>160</v>
      </c>
      <c r="H32" s="100"/>
      <c r="I32" s="100"/>
      <c r="J32" s="100"/>
      <c r="K32" s="100"/>
      <c r="L32" s="100"/>
      <c r="M32" s="100"/>
      <c r="N32" s="100"/>
      <c r="O32" s="101"/>
      <c r="P32" s="7"/>
      <c r="Q32" s="99" t="s">
        <v>161</v>
      </c>
      <c r="R32" s="100"/>
      <c r="S32" s="100"/>
      <c r="T32" s="100"/>
      <c r="U32" s="101"/>
      <c r="V32" s="7"/>
      <c r="W32" s="99" t="s">
        <v>162</v>
      </c>
      <c r="X32" s="101"/>
      <c r="Y32" s="7"/>
      <c r="Z32" s="99" t="s">
        <v>163</v>
      </c>
      <c r="AA32" s="100"/>
      <c r="AB32" s="101"/>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102" t="s">
        <v>164</v>
      </c>
      <c r="C33" s="103" t="s">
        <v>165</v>
      </c>
      <c r="D33" s="103" t="s">
        <v>164</v>
      </c>
      <c r="E33" s="104" t="s">
        <v>165</v>
      </c>
      <c r="F33" s="7"/>
      <c r="G33" s="102" t="s">
        <v>166</v>
      </c>
      <c r="H33" s="103" t="s">
        <v>641</v>
      </c>
      <c r="I33" s="103"/>
      <c r="J33" s="103"/>
      <c r="K33" s="103" t="s">
        <v>167</v>
      </c>
      <c r="L33" s="103"/>
      <c r="M33" s="103"/>
      <c r="N33" s="103"/>
      <c r="O33" s="104"/>
      <c r="P33" s="7"/>
      <c r="Q33" s="102"/>
      <c r="R33" s="103" t="s">
        <v>168</v>
      </c>
      <c r="S33" s="103" t="s">
        <v>169</v>
      </c>
      <c r="T33" s="103" t="s">
        <v>170</v>
      </c>
      <c r="U33" s="104" t="s">
        <v>171</v>
      </c>
      <c r="V33" s="7"/>
      <c r="W33" s="102" t="s">
        <v>172</v>
      </c>
      <c r="X33" s="104">
        <v>20</v>
      </c>
      <c r="Y33" s="7"/>
      <c r="Z33" s="102"/>
      <c r="AA33" s="103" t="s">
        <v>165</v>
      </c>
      <c r="AB33" s="104" t="s">
        <v>173</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102" t="s">
        <v>174</v>
      </c>
      <c r="C34" s="103" t="s">
        <v>175</v>
      </c>
      <c r="D34" s="103" t="s">
        <v>174</v>
      </c>
      <c r="E34" s="104" t="s">
        <v>175</v>
      </c>
      <c r="F34" s="7"/>
      <c r="G34" s="102" t="s">
        <v>176</v>
      </c>
      <c r="H34" s="103" t="s">
        <v>177</v>
      </c>
      <c r="I34" s="103"/>
      <c r="J34" s="103"/>
      <c r="K34" s="103" t="s">
        <v>178</v>
      </c>
      <c r="L34" s="103"/>
      <c r="M34" s="103"/>
      <c r="N34" s="103"/>
      <c r="O34" s="104"/>
      <c r="P34" s="7"/>
      <c r="Q34" s="102" t="s">
        <v>179</v>
      </c>
      <c r="R34" s="103">
        <v>6.7943795888335753E-2</v>
      </c>
      <c r="S34" s="103">
        <v>4.387844424080023E-2</v>
      </c>
      <c r="T34" s="103">
        <v>5.3289007766645871E-2</v>
      </c>
      <c r="U34" s="104">
        <v>5.447903102274565E-2</v>
      </c>
      <c r="V34" s="7"/>
      <c r="W34" s="102" t="s">
        <v>180</v>
      </c>
      <c r="X34" s="104">
        <v>2016</v>
      </c>
      <c r="Y34" s="7"/>
      <c r="Z34" s="102" t="s">
        <v>181</v>
      </c>
      <c r="AA34" s="103">
        <v>4.03890184699085E-3</v>
      </c>
      <c r="AB34" s="104">
        <v>0.01</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102" t="s">
        <v>182</v>
      </c>
      <c r="C35" s="103" t="s">
        <v>183</v>
      </c>
      <c r="D35" s="103" t="s">
        <v>182</v>
      </c>
      <c r="E35" s="104" t="s">
        <v>183</v>
      </c>
      <c r="F35" s="7"/>
      <c r="G35" s="102" t="s">
        <v>184</v>
      </c>
      <c r="H35" s="103" t="s">
        <v>185</v>
      </c>
      <c r="I35" s="103"/>
      <c r="J35" s="103"/>
      <c r="K35" s="103" t="s">
        <v>186</v>
      </c>
      <c r="L35" s="103"/>
      <c r="M35" s="103"/>
      <c r="N35" s="103"/>
      <c r="O35" s="104"/>
      <c r="P35" s="7"/>
      <c r="Q35" s="102" t="s">
        <v>187</v>
      </c>
      <c r="R35" s="103">
        <v>12</v>
      </c>
      <c r="S35" s="103">
        <v>12</v>
      </c>
      <c r="T35" s="103">
        <v>1</v>
      </c>
      <c r="U35" s="104">
        <v>1</v>
      </c>
      <c r="V35" s="7"/>
      <c r="W35" s="102" t="s">
        <v>188</v>
      </c>
      <c r="X35" s="104">
        <v>2016</v>
      </c>
      <c r="Y35" s="7"/>
      <c r="Z35" s="102" t="s">
        <v>189</v>
      </c>
      <c r="AA35" s="103">
        <v>26</v>
      </c>
      <c r="AB35" s="104">
        <v>0</v>
      </c>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13.5" thickBot="1">
      <c r="A36" s="7"/>
      <c r="B36" s="105" t="s">
        <v>190</v>
      </c>
      <c r="C36" s="106" t="s">
        <v>183</v>
      </c>
      <c r="D36" s="106" t="s">
        <v>190</v>
      </c>
      <c r="E36" s="107" t="s">
        <v>183</v>
      </c>
      <c r="F36" s="7"/>
      <c r="G36" s="102" t="s">
        <v>191</v>
      </c>
      <c r="H36" s="103" t="s">
        <v>192</v>
      </c>
      <c r="I36" s="103"/>
      <c r="J36" s="103"/>
      <c r="K36" s="103" t="s">
        <v>178</v>
      </c>
      <c r="L36" s="103"/>
      <c r="M36" s="103"/>
      <c r="N36" s="103"/>
      <c r="O36" s="104"/>
      <c r="P36" s="7"/>
      <c r="Q36" s="102"/>
      <c r="R36" s="103" t="s">
        <v>168</v>
      </c>
      <c r="S36" s="103" t="s">
        <v>169</v>
      </c>
      <c r="T36" s="103" t="s">
        <v>170</v>
      </c>
      <c r="U36" s="104" t="s">
        <v>171</v>
      </c>
      <c r="V36" s="7"/>
      <c r="W36" s="102" t="s">
        <v>193</v>
      </c>
      <c r="X36" s="104">
        <v>2012</v>
      </c>
      <c r="Y36" s="7"/>
      <c r="Z36" s="102" t="s">
        <v>194</v>
      </c>
      <c r="AA36" s="103">
        <v>0.9</v>
      </c>
      <c r="AB36" s="104" t="s">
        <v>195</v>
      </c>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102" t="s">
        <v>196</v>
      </c>
      <c r="H37" s="103" t="s">
        <v>185</v>
      </c>
      <c r="I37" s="103"/>
      <c r="J37" s="103"/>
      <c r="K37" s="103"/>
      <c r="L37" s="103"/>
      <c r="M37" s="103"/>
      <c r="N37" s="103"/>
      <c r="O37" s="104"/>
      <c r="P37" s="7"/>
      <c r="Q37" s="102" t="s">
        <v>197</v>
      </c>
      <c r="R37" s="103">
        <v>0.35</v>
      </c>
      <c r="S37" s="103">
        <v>0.19500000000000001</v>
      </c>
      <c r="T37" s="103">
        <v>0.45499999999999996</v>
      </c>
      <c r="U37" s="104">
        <v>0</v>
      </c>
      <c r="V37" s="7"/>
      <c r="W37" s="102" t="s">
        <v>198</v>
      </c>
      <c r="X37" s="104">
        <v>0.04</v>
      </c>
      <c r="Y37" s="7"/>
      <c r="Z37" s="102" t="s">
        <v>199</v>
      </c>
      <c r="AA37" s="103">
        <v>4.7399348199455904E-2</v>
      </c>
      <c r="AB37" s="104">
        <v>0</v>
      </c>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t="s">
        <v>200</v>
      </c>
      <c r="C38" s="7" t="s">
        <v>165</v>
      </c>
      <c r="D38" s="7"/>
      <c r="E38" s="7"/>
      <c r="F38" s="7"/>
      <c r="G38" s="102" t="s">
        <v>201</v>
      </c>
      <c r="H38" s="103" t="s">
        <v>202</v>
      </c>
      <c r="I38" s="103"/>
      <c r="J38" s="103"/>
      <c r="K38" s="103" t="s">
        <v>203</v>
      </c>
      <c r="L38" s="103"/>
      <c r="M38" s="103"/>
      <c r="N38" s="103"/>
      <c r="O38" s="104"/>
      <c r="P38" s="7"/>
      <c r="Q38" s="102" t="s">
        <v>204</v>
      </c>
      <c r="R38" s="103">
        <v>1</v>
      </c>
      <c r="S38" s="103">
        <v>0</v>
      </c>
      <c r="T38" s="103">
        <v>0</v>
      </c>
      <c r="U38" s="104">
        <v>0</v>
      </c>
      <c r="V38" s="7"/>
      <c r="W38" s="102" t="s">
        <v>205</v>
      </c>
      <c r="X38" s="104">
        <v>0</v>
      </c>
      <c r="Y38" s="7"/>
      <c r="Z38" s="102" t="s">
        <v>206</v>
      </c>
      <c r="AA38" s="103">
        <v>31</v>
      </c>
      <c r="AB38" s="104">
        <v>0</v>
      </c>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t="s">
        <v>207</v>
      </c>
      <c r="C39" s="7" t="s">
        <v>208</v>
      </c>
      <c r="D39" s="7"/>
      <c r="E39" s="7"/>
      <c r="F39" s="7"/>
      <c r="G39" s="102" t="s">
        <v>209</v>
      </c>
      <c r="H39" s="103" t="s">
        <v>203</v>
      </c>
      <c r="I39" s="103"/>
      <c r="J39" s="103"/>
      <c r="K39" s="103" t="s">
        <v>210</v>
      </c>
      <c r="L39" s="103"/>
      <c r="M39" s="103"/>
      <c r="N39" s="103"/>
      <c r="O39" s="104"/>
      <c r="P39" s="7"/>
      <c r="Q39" s="102" t="s">
        <v>211</v>
      </c>
      <c r="R39" s="103">
        <v>1</v>
      </c>
      <c r="S39" s="103">
        <v>0</v>
      </c>
      <c r="T39" s="103">
        <v>0</v>
      </c>
      <c r="U39" s="104">
        <v>0</v>
      </c>
      <c r="V39" s="7"/>
      <c r="W39" s="102" t="s">
        <v>212</v>
      </c>
      <c r="X39" s="104">
        <v>0.2</v>
      </c>
      <c r="Y39" s="7"/>
      <c r="Z39" s="102" t="s">
        <v>213</v>
      </c>
      <c r="AA39" s="103">
        <v>0.7</v>
      </c>
      <c r="AB39" s="104" t="s">
        <v>195</v>
      </c>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t="s">
        <v>214</v>
      </c>
      <c r="C40" s="7" t="s">
        <v>215</v>
      </c>
      <c r="D40" s="7"/>
      <c r="E40" s="7"/>
      <c r="F40" s="7"/>
      <c r="G40" s="102" t="s">
        <v>216</v>
      </c>
      <c r="H40" s="103" t="s">
        <v>210</v>
      </c>
      <c r="I40" s="103"/>
      <c r="J40" s="103"/>
      <c r="K40" s="103" t="s">
        <v>217</v>
      </c>
      <c r="L40" s="103"/>
      <c r="M40" s="103"/>
      <c r="N40" s="103"/>
      <c r="O40" s="104"/>
      <c r="P40" s="7"/>
      <c r="Q40" s="102" t="s">
        <v>218</v>
      </c>
      <c r="R40" s="103"/>
      <c r="S40" s="103">
        <v>0.3</v>
      </c>
      <c r="T40" s="103">
        <v>0.7</v>
      </c>
      <c r="U40" s="104">
        <v>0</v>
      </c>
      <c r="V40" s="7"/>
      <c r="W40" s="102" t="s">
        <v>219</v>
      </c>
      <c r="X40" s="104">
        <v>0</v>
      </c>
      <c r="Y40" s="7"/>
      <c r="Z40" s="102" t="s">
        <v>220</v>
      </c>
      <c r="AA40" s="103">
        <v>0</v>
      </c>
      <c r="AB40" s="104">
        <v>0</v>
      </c>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13.5" thickBot="1">
      <c r="A41" s="7"/>
      <c r="B41" s="7" t="s">
        <v>221</v>
      </c>
      <c r="C41" s="7" t="s">
        <v>222</v>
      </c>
      <c r="D41" s="7"/>
      <c r="E41" s="7"/>
      <c r="F41" s="7"/>
      <c r="G41" s="105" t="s">
        <v>223</v>
      </c>
      <c r="H41" s="106" t="s">
        <v>217</v>
      </c>
      <c r="I41" s="106"/>
      <c r="J41" s="106"/>
      <c r="K41" s="106"/>
      <c r="L41" s="106"/>
      <c r="M41" s="106"/>
      <c r="N41" s="106"/>
      <c r="O41" s="107"/>
      <c r="P41" s="7"/>
      <c r="Q41" s="105" t="s">
        <v>224</v>
      </c>
      <c r="R41" s="106"/>
      <c r="S41" s="106">
        <v>20</v>
      </c>
      <c r="T41" s="106"/>
      <c r="U41" s="107"/>
      <c r="V41" s="7"/>
      <c r="W41" s="105" t="s">
        <v>225</v>
      </c>
      <c r="X41" s="107">
        <v>2018</v>
      </c>
      <c r="Y41" s="7"/>
      <c r="Z41" s="105" t="s">
        <v>226</v>
      </c>
      <c r="AA41" s="106">
        <v>0</v>
      </c>
      <c r="AB41" s="107">
        <v>0</v>
      </c>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ht="13.5" thickBot="1">
      <c r="A49" s="24" t="s">
        <v>227</v>
      </c>
      <c r="B49" s="25"/>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ht="26.25" thickBot="1">
      <c r="A50" s="108" t="s">
        <v>228</v>
      </c>
      <c r="B50" s="109"/>
      <c r="C50" s="110" t="s">
        <v>229</v>
      </c>
      <c r="D50" s="111"/>
      <c r="E50" s="111"/>
      <c r="F50" s="111"/>
      <c r="G50" s="111"/>
      <c r="H50" s="111"/>
      <c r="I50" s="111"/>
      <c r="J50" s="111"/>
      <c r="K50" s="112"/>
      <c r="L50" s="110" t="s">
        <v>230</v>
      </c>
      <c r="M50" s="111"/>
      <c r="N50" s="111"/>
      <c r="O50" s="111"/>
      <c r="P50" s="111"/>
      <c r="Q50" s="112"/>
      <c r="R50" s="110" t="s">
        <v>231</v>
      </c>
      <c r="S50" s="111"/>
      <c r="T50" s="111"/>
      <c r="U50" s="112"/>
      <c r="V50" s="110" t="s">
        <v>232</v>
      </c>
      <c r="W50" s="111"/>
      <c r="X50" s="111"/>
      <c r="Y50" s="112"/>
      <c r="Z50" s="110" t="s">
        <v>233</v>
      </c>
      <c r="AA50" s="111"/>
      <c r="AB50" s="111"/>
      <c r="AC50" s="112"/>
      <c r="AD50" s="110" t="s">
        <v>234</v>
      </c>
      <c r="AE50" s="111"/>
      <c r="AF50" s="111"/>
      <c r="AG50" s="112"/>
      <c r="AH50" s="110" t="s">
        <v>235</v>
      </c>
      <c r="AI50" s="111"/>
      <c r="AJ50" s="111"/>
      <c r="AK50" s="111"/>
      <c r="AL50" s="112"/>
      <c r="AM50" s="110" t="s">
        <v>236</v>
      </c>
      <c r="AN50" s="111"/>
      <c r="AO50" s="111"/>
      <c r="AP50" s="111"/>
      <c r="AQ50" s="111"/>
      <c r="AR50" s="111"/>
      <c r="AS50" s="112"/>
      <c r="AT50" s="110" t="s">
        <v>237</v>
      </c>
      <c r="AU50" s="111"/>
      <c r="AV50" s="111"/>
      <c r="AW50" s="111"/>
      <c r="AX50" s="111"/>
      <c r="AY50" s="111"/>
      <c r="AZ50" s="112"/>
      <c r="BA50" s="110" t="s">
        <v>238</v>
      </c>
      <c r="BB50" s="111"/>
      <c r="BC50" s="111"/>
      <c r="BD50" s="111"/>
      <c r="BE50" s="111"/>
      <c r="BF50" s="112"/>
      <c r="BG50" s="110" t="s">
        <v>239</v>
      </c>
      <c r="BH50" s="112"/>
      <c r="BI50" s="110" t="s">
        <v>240</v>
      </c>
      <c r="BJ50" s="111"/>
      <c r="BK50" s="111"/>
      <c r="BL50" s="111"/>
      <c r="BM50" s="112"/>
      <c r="BN50" s="110" t="s">
        <v>241</v>
      </c>
      <c r="BO50" s="111"/>
      <c r="BP50" s="111"/>
      <c r="BQ50" s="111"/>
      <c r="BR50" s="111"/>
      <c r="BS50" s="111"/>
      <c r="BT50" s="111"/>
      <c r="BU50" s="111"/>
      <c r="BV50" s="111"/>
      <c r="BW50" s="111"/>
      <c r="BX50" s="111"/>
      <c r="BY50" s="111"/>
      <c r="BZ50" s="111"/>
      <c r="CA50" s="111"/>
      <c r="CB50" s="111"/>
      <c r="CC50" s="112"/>
      <c r="CD50" s="110" t="s">
        <v>242</v>
      </c>
      <c r="CE50" s="112"/>
      <c r="CF50" s="110" t="s">
        <v>243</v>
      </c>
      <c r="CG50" s="111"/>
      <c r="CH50" s="111"/>
      <c r="CI50" s="111"/>
      <c r="CJ50" s="111"/>
      <c r="CK50" s="112"/>
      <c r="CL50" s="113"/>
      <c r="CM50" s="110" t="s">
        <v>5</v>
      </c>
      <c r="CN50" s="111"/>
      <c r="CO50" s="111"/>
      <c r="CP50" s="112"/>
      <c r="CQ50" s="110" t="s">
        <v>244</v>
      </c>
      <c r="CR50" s="111"/>
      <c r="CS50" s="111"/>
      <c r="CT50" s="111"/>
      <c r="CU50" s="112"/>
      <c r="CV50" s="110" t="s">
        <v>245</v>
      </c>
      <c r="CW50" s="112"/>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ht="216.75">
      <c r="A51" s="27" t="s">
        <v>246</v>
      </c>
      <c r="B51" s="28" t="s">
        <v>247</v>
      </c>
      <c r="C51" s="29" t="s">
        <v>118</v>
      </c>
      <c r="D51" s="29" t="s">
        <v>248</v>
      </c>
      <c r="E51" s="29" t="s">
        <v>249</v>
      </c>
      <c r="F51" s="29" t="s">
        <v>250</v>
      </c>
      <c r="G51" s="29" t="s">
        <v>251</v>
      </c>
      <c r="H51" s="29" t="s">
        <v>252</v>
      </c>
      <c r="I51" s="29" t="s">
        <v>253</v>
      </c>
      <c r="J51" s="29" t="s">
        <v>254</v>
      </c>
      <c r="K51" s="29" t="s">
        <v>255</v>
      </c>
      <c r="L51" s="29" t="s">
        <v>256</v>
      </c>
      <c r="M51" s="29" t="s">
        <v>257</v>
      </c>
      <c r="N51" s="29" t="s">
        <v>258</v>
      </c>
      <c r="O51" s="29" t="s">
        <v>259</v>
      </c>
      <c r="P51" s="29" t="s">
        <v>260</v>
      </c>
      <c r="Q51" s="29" t="s">
        <v>261</v>
      </c>
      <c r="R51" s="29" t="s">
        <v>262</v>
      </c>
      <c r="S51" s="29" t="s">
        <v>263</v>
      </c>
      <c r="T51" s="29" t="s">
        <v>264</v>
      </c>
      <c r="U51" s="29" t="s">
        <v>168</v>
      </c>
      <c r="V51" s="29" t="s">
        <v>262</v>
      </c>
      <c r="W51" s="29" t="s">
        <v>263</v>
      </c>
      <c r="X51" s="29" t="s">
        <v>264</v>
      </c>
      <c r="Y51" s="29" t="s">
        <v>168</v>
      </c>
      <c r="Z51" s="29" t="s">
        <v>262</v>
      </c>
      <c r="AA51" s="29" t="s">
        <v>263</v>
      </c>
      <c r="AB51" s="29" t="s">
        <v>264</v>
      </c>
      <c r="AC51" s="29" t="s">
        <v>168</v>
      </c>
      <c r="AD51" s="29" t="s">
        <v>262</v>
      </c>
      <c r="AE51" s="29" t="s">
        <v>263</v>
      </c>
      <c r="AF51" s="29" t="s">
        <v>264</v>
      </c>
      <c r="AG51" s="29" t="s">
        <v>168</v>
      </c>
      <c r="AH51" s="29" t="s">
        <v>262</v>
      </c>
      <c r="AI51" s="29" t="s">
        <v>263</v>
      </c>
      <c r="AJ51" s="29" t="s">
        <v>264</v>
      </c>
      <c r="AK51" s="29" t="s">
        <v>168</v>
      </c>
      <c r="AL51" s="29" t="s">
        <v>129</v>
      </c>
      <c r="AM51" s="29" t="s">
        <v>265</v>
      </c>
      <c r="AN51" s="29" t="s">
        <v>266</v>
      </c>
      <c r="AO51" s="29" t="s">
        <v>267</v>
      </c>
      <c r="AP51" s="29" t="s">
        <v>268</v>
      </c>
      <c r="AQ51" s="29" t="s">
        <v>269</v>
      </c>
      <c r="AR51" s="29" t="s">
        <v>270</v>
      </c>
      <c r="AS51" s="29" t="s">
        <v>271</v>
      </c>
      <c r="AT51" s="29" t="s">
        <v>272</v>
      </c>
      <c r="AU51" s="29" t="s">
        <v>273</v>
      </c>
      <c r="AV51" s="29" t="s">
        <v>274</v>
      </c>
      <c r="AW51" s="29" t="s">
        <v>275</v>
      </c>
      <c r="AX51" s="29" t="s">
        <v>276</v>
      </c>
      <c r="AY51" s="29" t="s">
        <v>277</v>
      </c>
      <c r="AZ51" s="29" t="s">
        <v>278</v>
      </c>
      <c r="BA51" s="29" t="s">
        <v>279</v>
      </c>
      <c r="BB51" s="29" t="s">
        <v>280</v>
      </c>
      <c r="BC51" s="29" t="s">
        <v>281</v>
      </c>
      <c r="BD51" s="29" t="s">
        <v>282</v>
      </c>
      <c r="BE51" s="29" t="s">
        <v>283</v>
      </c>
      <c r="BF51" s="29" t="s">
        <v>284</v>
      </c>
      <c r="BG51" s="29" t="s">
        <v>285</v>
      </c>
      <c r="BH51" s="29" t="s">
        <v>286</v>
      </c>
      <c r="BI51" s="29" t="s">
        <v>287</v>
      </c>
      <c r="BJ51" s="29" t="s">
        <v>288</v>
      </c>
      <c r="BK51" s="29" t="s">
        <v>289</v>
      </c>
      <c r="BL51" s="29" t="s">
        <v>290</v>
      </c>
      <c r="BM51" s="29" t="s">
        <v>291</v>
      </c>
      <c r="BN51" s="29" t="s">
        <v>292</v>
      </c>
      <c r="BO51" s="29" t="s">
        <v>293</v>
      </c>
      <c r="BP51" s="29" t="s">
        <v>294</v>
      </c>
      <c r="BQ51" s="29" t="s">
        <v>295</v>
      </c>
      <c r="BR51" s="29" t="s">
        <v>296</v>
      </c>
      <c r="BS51" s="29" t="s">
        <v>297</v>
      </c>
      <c r="BT51" s="29" t="s">
        <v>298</v>
      </c>
      <c r="BU51" s="29" t="s">
        <v>299</v>
      </c>
      <c r="BV51" s="29" t="s">
        <v>300</v>
      </c>
      <c r="BW51" s="29" t="s">
        <v>301</v>
      </c>
      <c r="BX51" s="29" t="s">
        <v>302</v>
      </c>
      <c r="BY51" s="29" t="s">
        <v>303</v>
      </c>
      <c r="BZ51" s="29" t="s">
        <v>304</v>
      </c>
      <c r="CA51" s="29" t="s">
        <v>305</v>
      </c>
      <c r="CB51" s="29" t="s">
        <v>306</v>
      </c>
      <c r="CC51" s="29" t="s">
        <v>307</v>
      </c>
      <c r="CD51" s="29" t="s">
        <v>308</v>
      </c>
      <c r="CE51" s="29" t="s">
        <v>21</v>
      </c>
      <c r="CF51" s="29" t="s">
        <v>309</v>
      </c>
      <c r="CG51" s="29" t="s">
        <v>310</v>
      </c>
      <c r="CH51" s="29" t="s">
        <v>311</v>
      </c>
      <c r="CI51" s="29" t="s">
        <v>312</v>
      </c>
      <c r="CJ51" s="29" t="s">
        <v>313</v>
      </c>
      <c r="CK51" s="29" t="s">
        <v>314</v>
      </c>
      <c r="CL51" s="29"/>
      <c r="CM51" s="29" t="s">
        <v>315</v>
      </c>
      <c r="CN51" s="29" t="s">
        <v>316</v>
      </c>
      <c r="CO51" s="29" t="s">
        <v>317</v>
      </c>
      <c r="CP51" s="29" t="s">
        <v>318</v>
      </c>
      <c r="CQ51" s="29" t="s">
        <v>319</v>
      </c>
      <c r="CR51" s="29" t="s">
        <v>320</v>
      </c>
      <c r="CS51" s="29" t="s">
        <v>321</v>
      </c>
      <c r="CT51" s="29" t="s">
        <v>322</v>
      </c>
      <c r="CU51" s="29" t="s">
        <v>323</v>
      </c>
      <c r="CV51" s="29" t="s">
        <v>324</v>
      </c>
      <c r="CW51" s="114" t="s">
        <v>325</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460</v>
      </c>
      <c r="B52" s="7" t="s">
        <v>460</v>
      </c>
      <c r="C52" s="26">
        <v>10</v>
      </c>
      <c r="D52" s="26">
        <v>468.93794237430774</v>
      </c>
      <c r="E52" s="26">
        <v>0</v>
      </c>
      <c r="F52" s="26">
        <v>64.150000000000006</v>
      </c>
      <c r="G52" s="26">
        <v>0</v>
      </c>
      <c r="H52" s="26">
        <v>0</v>
      </c>
      <c r="I52" s="26" t="s">
        <v>153</v>
      </c>
      <c r="J52" s="26"/>
      <c r="K52" s="26"/>
      <c r="L52" s="26">
        <v>501.3959711335944</v>
      </c>
      <c r="M52" s="26">
        <v>1.3336260123209538E-3</v>
      </c>
      <c r="N52" s="26">
        <v>1.3240004978200418E-3</v>
      </c>
      <c r="O52" s="26">
        <v>0</v>
      </c>
      <c r="P52" s="26">
        <v>0</v>
      </c>
      <c r="Q52" s="26">
        <v>0</v>
      </c>
      <c r="R52" s="26">
        <v>12.792366947914351</v>
      </c>
      <c r="S52" s="26">
        <v>29.561214308600775</v>
      </c>
      <c r="T52" s="26">
        <v>0</v>
      </c>
      <c r="U52" s="26">
        <v>76.887676714142003</v>
      </c>
      <c r="V52" s="26" t="s">
        <v>326</v>
      </c>
      <c r="W52" s="26" t="s">
        <v>326</v>
      </c>
      <c r="X52" s="26" t="s">
        <v>326</v>
      </c>
      <c r="Y52" s="26" t="s">
        <v>326</v>
      </c>
      <c r="Z52" s="26">
        <v>0</v>
      </c>
      <c r="AA52" s="26">
        <v>0</v>
      </c>
      <c r="AB52" s="26">
        <v>0</v>
      </c>
      <c r="AC52" s="26">
        <v>0</v>
      </c>
      <c r="AD52" s="26">
        <v>0</v>
      </c>
      <c r="AE52" s="26">
        <v>0</v>
      </c>
      <c r="AF52" s="26">
        <v>0</v>
      </c>
      <c r="AG52" s="26">
        <v>0</v>
      </c>
      <c r="AH52" s="26">
        <v>12.792366947914351</v>
      </c>
      <c r="AI52" s="26">
        <v>29.561214308600775</v>
      </c>
      <c r="AJ52" s="26">
        <v>0</v>
      </c>
      <c r="AK52" s="26">
        <v>76.887676714142003</v>
      </c>
      <c r="AL52" s="26">
        <v>119.24125797065713</v>
      </c>
      <c r="AM52" s="26">
        <v>241.16340203946166</v>
      </c>
      <c r="AN52" s="26">
        <v>0.47123473096907104</v>
      </c>
      <c r="AO52" s="26">
        <v>0</v>
      </c>
      <c r="AP52" s="26">
        <v>0</v>
      </c>
      <c r="AQ52" s="26">
        <v>241.63463677043072</v>
      </c>
      <c r="AR52" s="26">
        <v>12.792366947914351</v>
      </c>
      <c r="AS52" s="30">
        <v>18.888970098674857</v>
      </c>
      <c r="AT52" s="26">
        <v>241.16340203946166</v>
      </c>
      <c r="AU52" s="26">
        <v>0.55780156423449545</v>
      </c>
      <c r="AV52" s="26">
        <v>0</v>
      </c>
      <c r="AW52" s="26">
        <v>0</v>
      </c>
      <c r="AX52" s="26">
        <v>241.72120360369615</v>
      </c>
      <c r="AY52" s="26">
        <v>29.561214308600775</v>
      </c>
      <c r="AZ52" s="30">
        <v>8.1769713882615385</v>
      </c>
      <c r="BA52" s="26">
        <v>241.16340203946166</v>
      </c>
      <c r="BB52" s="26">
        <v>1.0290362952035665</v>
      </c>
      <c r="BC52" s="26">
        <v>0</v>
      </c>
      <c r="BD52" s="26">
        <v>0</v>
      </c>
      <c r="BE52" s="26">
        <v>242.19243833466521</v>
      </c>
      <c r="BF52" s="26">
        <v>42.353581256515128</v>
      </c>
      <c r="BG52" s="26">
        <v>6.0645328739134152</v>
      </c>
      <c r="BH52" s="30">
        <v>5.7183461504193218</v>
      </c>
      <c r="BI52" s="26">
        <v>1.8773281100474517</v>
      </c>
      <c r="BJ52" s="26">
        <v>4.3382197223259915</v>
      </c>
      <c r="BK52" s="26">
        <v>0</v>
      </c>
      <c r="BL52" s="26">
        <v>11.283556623993906</v>
      </c>
      <c r="BM52" s="26">
        <v>17.499104456367348</v>
      </c>
      <c r="BN52" s="26">
        <v>241.16340203946166</v>
      </c>
      <c r="BO52" s="26">
        <v>0</v>
      </c>
      <c r="BP52" s="26">
        <v>1.0290362952035665</v>
      </c>
      <c r="BQ52" s="26">
        <v>0</v>
      </c>
      <c r="BR52" s="26">
        <v>0</v>
      </c>
      <c r="BS52" s="26">
        <v>0</v>
      </c>
      <c r="BT52" s="26">
        <v>0</v>
      </c>
      <c r="BU52" s="26">
        <v>0</v>
      </c>
      <c r="BV52" s="26">
        <v>0</v>
      </c>
      <c r="BW52" s="26">
        <v>0</v>
      </c>
      <c r="BX52" s="26">
        <v>119.24125797065713</v>
      </c>
      <c r="BY52" s="26"/>
      <c r="BZ52" s="26">
        <v>0</v>
      </c>
      <c r="CA52" s="26">
        <v>0</v>
      </c>
      <c r="CB52" s="26">
        <v>242.19243833466521</v>
      </c>
      <c r="CC52" s="26">
        <v>119.24125797065713</v>
      </c>
      <c r="CD52" s="30">
        <v>2.031112741147564</v>
      </c>
      <c r="CE52" s="26">
        <v>17.348089497907321</v>
      </c>
      <c r="CF52" s="26">
        <v>4.7633261154746762</v>
      </c>
      <c r="CG52" s="26">
        <v>0</v>
      </c>
      <c r="CH52" s="26">
        <v>4.7633261154746762</v>
      </c>
      <c r="CI52" s="26">
        <v>0.23816308628845728</v>
      </c>
      <c r="CJ52" s="26">
        <v>0</v>
      </c>
      <c r="CK52" s="26">
        <v>0.23816308628845728</v>
      </c>
      <c r="CL52" s="26"/>
      <c r="CM52" s="26">
        <v>0</v>
      </c>
      <c r="CN52" s="26"/>
      <c r="CO52" s="26">
        <v>0</v>
      </c>
      <c r="CP52" s="26">
        <v>0</v>
      </c>
      <c r="CQ52" s="26">
        <v>0</v>
      </c>
      <c r="CR52" s="26">
        <v>0</v>
      </c>
      <c r="CS52" s="26">
        <v>0</v>
      </c>
      <c r="CT52" s="26">
        <v>0</v>
      </c>
      <c r="CU52" s="26">
        <v>0</v>
      </c>
      <c r="CV52" s="26">
        <v>9999</v>
      </c>
      <c r="CW52" s="30">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t="s">
        <v>458</v>
      </c>
      <c r="B53" s="7" t="s">
        <v>458</v>
      </c>
      <c r="C53" s="26">
        <v>10</v>
      </c>
      <c r="D53" s="26">
        <v>269.17982618554754</v>
      </c>
      <c r="E53" s="26">
        <v>0</v>
      </c>
      <c r="F53" s="26">
        <v>24.056249999999999</v>
      </c>
      <c r="G53" s="26">
        <v>0</v>
      </c>
      <c r="H53" s="26">
        <v>5.9720856774060174</v>
      </c>
      <c r="I53" s="26" t="s">
        <v>153</v>
      </c>
      <c r="J53" s="26"/>
      <c r="K53" s="26"/>
      <c r="L53" s="26">
        <v>287.81138859551851</v>
      </c>
      <c r="M53" s="26">
        <v>7.6552819841252276E-4</v>
      </c>
      <c r="N53" s="26">
        <v>7.6000295917258561E-4</v>
      </c>
      <c r="O53" s="26">
        <v>0</v>
      </c>
      <c r="P53" s="26">
        <v>0</v>
      </c>
      <c r="Q53" s="26">
        <v>0</v>
      </c>
      <c r="R53" s="26">
        <v>4.7971376054678805</v>
      </c>
      <c r="S53" s="26">
        <v>11.085455365725288</v>
      </c>
      <c r="T53" s="26">
        <v>0</v>
      </c>
      <c r="U53" s="26">
        <v>28.832878767803244</v>
      </c>
      <c r="V53" s="26" t="s">
        <v>326</v>
      </c>
      <c r="W53" s="26" t="s">
        <v>326</v>
      </c>
      <c r="X53" s="26" t="s">
        <v>326</v>
      </c>
      <c r="Y53" s="26" t="s">
        <v>326</v>
      </c>
      <c r="Z53" s="26">
        <v>0</v>
      </c>
      <c r="AA53" s="26">
        <v>0</v>
      </c>
      <c r="AB53" s="26">
        <v>0</v>
      </c>
      <c r="AC53" s="26">
        <v>0</v>
      </c>
      <c r="AD53" s="26">
        <v>0</v>
      </c>
      <c r="AE53" s="26">
        <v>0</v>
      </c>
      <c r="AF53" s="26">
        <v>0</v>
      </c>
      <c r="AG53" s="26">
        <v>5.9720856774060174</v>
      </c>
      <c r="AH53" s="26">
        <v>4.7971376054678805</v>
      </c>
      <c r="AI53" s="26">
        <v>11.085455365725288</v>
      </c>
      <c r="AJ53" s="26">
        <v>0</v>
      </c>
      <c r="AK53" s="26">
        <v>34.804964445209265</v>
      </c>
      <c r="AL53" s="26">
        <v>50.687557416402427</v>
      </c>
      <c r="AM53" s="26">
        <v>138.43265126855766</v>
      </c>
      <c r="AN53" s="26">
        <v>0.2704982291102353</v>
      </c>
      <c r="AO53" s="26">
        <v>0</v>
      </c>
      <c r="AP53" s="26">
        <v>0</v>
      </c>
      <c r="AQ53" s="26">
        <v>138.70314949766791</v>
      </c>
      <c r="AR53" s="26">
        <v>4.7971376054678805</v>
      </c>
      <c r="AS53" s="30">
        <v>28.913731667728499</v>
      </c>
      <c r="AT53" s="26">
        <v>138.43265126855766</v>
      </c>
      <c r="AU53" s="26">
        <v>0.3201893353871943</v>
      </c>
      <c r="AV53" s="26">
        <v>0</v>
      </c>
      <c r="AW53" s="26">
        <v>0</v>
      </c>
      <c r="AX53" s="26">
        <v>138.75284060394486</v>
      </c>
      <c r="AY53" s="26">
        <v>11.085455365725288</v>
      </c>
      <c r="AZ53" s="30">
        <v>12.516656828816403</v>
      </c>
      <c r="BA53" s="26">
        <v>138.43265126855766</v>
      </c>
      <c r="BB53" s="26">
        <v>0.59068756449742965</v>
      </c>
      <c r="BC53" s="26">
        <v>0</v>
      </c>
      <c r="BD53" s="26">
        <v>0</v>
      </c>
      <c r="BE53" s="26">
        <v>139.02333883305511</v>
      </c>
      <c r="BF53" s="26">
        <v>15.882592971193169</v>
      </c>
      <c r="BG53" s="26">
        <v>3.9095227300606346</v>
      </c>
      <c r="BH53" s="30">
        <v>8.7531890469778286</v>
      </c>
      <c r="BI53" s="26">
        <v>1.2264343787788188</v>
      </c>
      <c r="BJ53" s="26">
        <v>2.8341033097418507</v>
      </c>
      <c r="BK53" s="26">
        <v>0</v>
      </c>
      <c r="BL53" s="26">
        <v>8.8982239948932609</v>
      </c>
      <c r="BM53" s="26">
        <v>12.958761683413931</v>
      </c>
      <c r="BN53" s="26">
        <v>138.43265126855766</v>
      </c>
      <c r="BO53" s="26">
        <v>0</v>
      </c>
      <c r="BP53" s="26">
        <v>0.59068756449742965</v>
      </c>
      <c r="BQ53" s="26">
        <v>0</v>
      </c>
      <c r="BR53" s="26">
        <v>0</v>
      </c>
      <c r="BS53" s="26">
        <v>0</v>
      </c>
      <c r="BT53" s="26">
        <v>0</v>
      </c>
      <c r="BU53" s="26">
        <v>0</v>
      </c>
      <c r="BV53" s="26">
        <v>0</v>
      </c>
      <c r="BW53" s="26">
        <v>0</v>
      </c>
      <c r="BX53" s="26">
        <v>44.715471738996413</v>
      </c>
      <c r="BY53" s="26"/>
      <c r="BZ53" s="26">
        <v>0</v>
      </c>
      <c r="CA53" s="26">
        <v>5.9720856774060174</v>
      </c>
      <c r="CB53" s="26">
        <v>139.02333883305511</v>
      </c>
      <c r="CC53" s="26">
        <v>50.687557416402427</v>
      </c>
      <c r="CD53" s="30">
        <v>2.7427508035348205</v>
      </c>
      <c r="CE53" s="26">
        <v>12.807746724953898</v>
      </c>
      <c r="CF53" s="26">
        <v>2.7342451526455993</v>
      </c>
      <c r="CG53" s="26">
        <v>0</v>
      </c>
      <c r="CH53" s="26">
        <v>2.7342451526455993</v>
      </c>
      <c r="CI53" s="26">
        <v>0.13671040958287126</v>
      </c>
      <c r="CJ53" s="26">
        <v>0</v>
      </c>
      <c r="CK53" s="26">
        <v>0.13671040958287126</v>
      </c>
      <c r="CL53" s="26"/>
      <c r="CM53" s="26">
        <v>0</v>
      </c>
      <c r="CN53" s="26"/>
      <c r="CO53" s="26">
        <v>0</v>
      </c>
      <c r="CP53" s="26">
        <v>0</v>
      </c>
      <c r="CQ53" s="26">
        <v>0</v>
      </c>
      <c r="CR53" s="26">
        <v>0</v>
      </c>
      <c r="CS53" s="26">
        <v>0</v>
      </c>
      <c r="CT53" s="26">
        <v>0</v>
      </c>
      <c r="CU53" s="26">
        <v>0</v>
      </c>
      <c r="CV53" s="26">
        <v>9999</v>
      </c>
      <c r="CW53" s="30">
        <v>9999</v>
      </c>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471</v>
      </c>
      <c r="B54" s="7" t="s">
        <v>471</v>
      </c>
      <c r="C54" s="26">
        <v>10</v>
      </c>
      <c r="D54" s="26">
        <v>254.89140103061385</v>
      </c>
      <c r="E54" s="26">
        <v>0</v>
      </c>
      <c r="F54" s="26">
        <v>166.79</v>
      </c>
      <c r="G54" s="26">
        <v>4.8112499999999994</v>
      </c>
      <c r="H54" s="26">
        <v>0</v>
      </c>
      <c r="I54" s="26" t="s">
        <v>153</v>
      </c>
      <c r="J54" s="26"/>
      <c r="K54" s="26"/>
      <c r="L54" s="26">
        <v>272.53397519140287</v>
      </c>
      <c r="M54" s="26">
        <v>7.2489293788052139E-4</v>
      </c>
      <c r="N54" s="26">
        <v>7.1966098572848257E-4</v>
      </c>
      <c r="O54" s="26">
        <v>0</v>
      </c>
      <c r="P54" s="26">
        <v>0</v>
      </c>
      <c r="Q54" s="26">
        <v>0</v>
      </c>
      <c r="R54" s="26">
        <v>33.260154064577307</v>
      </c>
      <c r="S54" s="26">
        <v>76.859157202362013</v>
      </c>
      <c r="T54" s="26">
        <v>0</v>
      </c>
      <c r="U54" s="26">
        <v>199.90795945676916</v>
      </c>
      <c r="V54" s="26" t="s">
        <v>326</v>
      </c>
      <c r="W54" s="26" t="s">
        <v>326</v>
      </c>
      <c r="X54" s="26" t="s">
        <v>326</v>
      </c>
      <c r="Y54" s="26" t="s">
        <v>326</v>
      </c>
      <c r="Z54" s="26">
        <v>0</v>
      </c>
      <c r="AA54" s="26">
        <v>0</v>
      </c>
      <c r="AB54" s="26">
        <v>0</v>
      </c>
      <c r="AC54" s="26">
        <v>65.386457627225766</v>
      </c>
      <c r="AD54" s="26">
        <v>0</v>
      </c>
      <c r="AE54" s="26">
        <v>0</v>
      </c>
      <c r="AF54" s="26">
        <v>0</v>
      </c>
      <c r="AG54" s="26">
        <v>0</v>
      </c>
      <c r="AH54" s="26">
        <v>33.260154064577307</v>
      </c>
      <c r="AI54" s="26">
        <v>76.859157202362013</v>
      </c>
      <c r="AJ54" s="26">
        <v>0</v>
      </c>
      <c r="AK54" s="26">
        <v>265.29441708399492</v>
      </c>
      <c r="AL54" s="26">
        <v>375.41372835093426</v>
      </c>
      <c r="AM54" s="26">
        <v>131.08446100972898</v>
      </c>
      <c r="AN54" s="26">
        <v>0.25613982136492547</v>
      </c>
      <c r="AO54" s="26">
        <v>0</v>
      </c>
      <c r="AP54" s="26">
        <v>0</v>
      </c>
      <c r="AQ54" s="26">
        <v>131.34060083109389</v>
      </c>
      <c r="AR54" s="26">
        <v>33.260154064577307</v>
      </c>
      <c r="AS54" s="30">
        <v>3.948887325539304</v>
      </c>
      <c r="AT54" s="26">
        <v>131.08446100972898</v>
      </c>
      <c r="AU54" s="26">
        <v>0.30319325726752749</v>
      </c>
      <c r="AV54" s="26">
        <v>0</v>
      </c>
      <c r="AW54" s="26">
        <v>0</v>
      </c>
      <c r="AX54" s="26">
        <v>131.38765426699652</v>
      </c>
      <c r="AY54" s="26">
        <v>76.859157202362013</v>
      </c>
      <c r="AZ54" s="30">
        <v>1.709459992139476</v>
      </c>
      <c r="BA54" s="26">
        <v>131.08446100972898</v>
      </c>
      <c r="BB54" s="26">
        <v>0.55933307863245296</v>
      </c>
      <c r="BC54" s="26">
        <v>0</v>
      </c>
      <c r="BD54" s="26">
        <v>0</v>
      </c>
      <c r="BE54" s="26">
        <v>131.64379408836143</v>
      </c>
      <c r="BF54" s="26">
        <v>110.11931126693932</v>
      </c>
      <c r="BG54" s="26">
        <v>29.580220063939837</v>
      </c>
      <c r="BH54" s="30">
        <v>1.1954651057455743</v>
      </c>
      <c r="BI54" s="26">
        <v>8.9799458968470613</v>
      </c>
      <c r="BJ54" s="26">
        <v>20.751289125552805</v>
      </c>
      <c r="BK54" s="26">
        <v>0</v>
      </c>
      <c r="BL54" s="26">
        <v>71.627134003178867</v>
      </c>
      <c r="BM54" s="26">
        <v>101.35836902557875</v>
      </c>
      <c r="BN54" s="26">
        <v>131.08446100972898</v>
      </c>
      <c r="BO54" s="26">
        <v>0</v>
      </c>
      <c r="BP54" s="26">
        <v>0.55933307863245296</v>
      </c>
      <c r="BQ54" s="26">
        <v>0</v>
      </c>
      <c r="BR54" s="26">
        <v>0</v>
      </c>
      <c r="BS54" s="26">
        <v>0</v>
      </c>
      <c r="BT54" s="26">
        <v>0</v>
      </c>
      <c r="BU54" s="26">
        <v>0</v>
      </c>
      <c r="BV54" s="26">
        <v>0</v>
      </c>
      <c r="BW54" s="26">
        <v>0</v>
      </c>
      <c r="BX54" s="26">
        <v>310.02727072370851</v>
      </c>
      <c r="BY54" s="26"/>
      <c r="BZ54" s="26">
        <v>65.386457627225766</v>
      </c>
      <c r="CA54" s="26">
        <v>0</v>
      </c>
      <c r="CB54" s="26">
        <v>131.64379408836143</v>
      </c>
      <c r="CC54" s="26">
        <v>375.41372835093426</v>
      </c>
      <c r="CD54" s="115">
        <v>0.35066323937227378</v>
      </c>
      <c r="CE54" s="26">
        <v>101.20735406711871</v>
      </c>
      <c r="CF54" s="26">
        <v>2.5891077633678172</v>
      </c>
      <c r="CG54" s="26">
        <v>0</v>
      </c>
      <c r="CH54" s="26">
        <v>2.5891077633678172</v>
      </c>
      <c r="CI54" s="26">
        <v>0.12945363821591635</v>
      </c>
      <c r="CJ54" s="26">
        <v>0</v>
      </c>
      <c r="CK54" s="26">
        <v>0.12945363821591635</v>
      </c>
      <c r="CL54" s="26"/>
      <c r="CM54" s="26">
        <v>0</v>
      </c>
      <c r="CN54" s="26"/>
      <c r="CO54" s="26">
        <v>0</v>
      </c>
      <c r="CP54" s="26">
        <v>0</v>
      </c>
      <c r="CQ54" s="26">
        <v>0</v>
      </c>
      <c r="CR54" s="26">
        <v>0</v>
      </c>
      <c r="CS54" s="26">
        <v>0</v>
      </c>
      <c r="CT54" s="26">
        <v>0</v>
      </c>
      <c r="CU54" s="26">
        <v>0</v>
      </c>
      <c r="CV54" s="26">
        <v>9999</v>
      </c>
      <c r="CW54" s="30">
        <v>9999</v>
      </c>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468</v>
      </c>
      <c r="B55" s="7" t="s">
        <v>468</v>
      </c>
      <c r="C55" s="26">
        <v>10</v>
      </c>
      <c r="D55" s="26">
        <v>254.89140103061385</v>
      </c>
      <c r="E55" s="26">
        <v>0</v>
      </c>
      <c r="F55" s="26">
        <v>38.489999999999995</v>
      </c>
      <c r="G55" s="26">
        <v>15.395999999999999</v>
      </c>
      <c r="H55" s="26">
        <v>0</v>
      </c>
      <c r="I55" s="26" t="s">
        <v>153</v>
      </c>
      <c r="J55" s="26"/>
      <c r="K55" s="26"/>
      <c r="L55" s="26">
        <v>272.53397519140287</v>
      </c>
      <c r="M55" s="26">
        <v>7.2489293788052139E-4</v>
      </c>
      <c r="N55" s="26">
        <v>7.1966098572848257E-4</v>
      </c>
      <c r="O55" s="26">
        <v>0</v>
      </c>
      <c r="P55" s="26">
        <v>0</v>
      </c>
      <c r="Q55" s="26">
        <v>0</v>
      </c>
      <c r="R55" s="26">
        <v>7.6754201687486088</v>
      </c>
      <c r="S55" s="26">
        <v>17.73672858516046</v>
      </c>
      <c r="T55" s="26">
        <v>0</v>
      </c>
      <c r="U55" s="26">
        <v>46.132606028485185</v>
      </c>
      <c r="V55" s="26" t="s">
        <v>326</v>
      </c>
      <c r="W55" s="26" t="s">
        <v>326</v>
      </c>
      <c r="X55" s="26" t="s">
        <v>326</v>
      </c>
      <c r="Y55" s="26" t="s">
        <v>326</v>
      </c>
      <c r="Z55" s="26">
        <v>0</v>
      </c>
      <c r="AA55" s="26">
        <v>0</v>
      </c>
      <c r="AB55" s="26">
        <v>0</v>
      </c>
      <c r="AC55" s="26">
        <v>209.23666440712245</v>
      </c>
      <c r="AD55" s="26">
        <v>0</v>
      </c>
      <c r="AE55" s="26">
        <v>0</v>
      </c>
      <c r="AF55" s="26">
        <v>0</v>
      </c>
      <c r="AG55" s="26">
        <v>0</v>
      </c>
      <c r="AH55" s="26">
        <v>7.6754201687486088</v>
      </c>
      <c r="AI55" s="26">
        <v>17.73672858516046</v>
      </c>
      <c r="AJ55" s="26">
        <v>0</v>
      </c>
      <c r="AK55" s="26">
        <v>255.36927043560763</v>
      </c>
      <c r="AL55" s="26">
        <v>280.78141918951673</v>
      </c>
      <c r="AM55" s="26">
        <v>131.08446100972898</v>
      </c>
      <c r="AN55" s="26">
        <v>0.25613982136492547</v>
      </c>
      <c r="AO55" s="26">
        <v>0</v>
      </c>
      <c r="AP55" s="26">
        <v>0</v>
      </c>
      <c r="AQ55" s="26">
        <v>131.34060083109389</v>
      </c>
      <c r="AR55" s="26">
        <v>7.6754201687486088</v>
      </c>
      <c r="AS55" s="30">
        <v>17.111845077336984</v>
      </c>
      <c r="AT55" s="26">
        <v>131.08446100972898</v>
      </c>
      <c r="AU55" s="26">
        <v>0.30319325726752749</v>
      </c>
      <c r="AV55" s="26">
        <v>0</v>
      </c>
      <c r="AW55" s="26">
        <v>0</v>
      </c>
      <c r="AX55" s="26">
        <v>131.38765426699652</v>
      </c>
      <c r="AY55" s="26">
        <v>17.73672858516046</v>
      </c>
      <c r="AZ55" s="30">
        <v>7.4076599659377314</v>
      </c>
      <c r="BA55" s="26">
        <v>131.08446100972898</v>
      </c>
      <c r="BB55" s="26">
        <v>0.55933307863245296</v>
      </c>
      <c r="BC55" s="26">
        <v>0</v>
      </c>
      <c r="BD55" s="26">
        <v>0</v>
      </c>
      <c r="BE55" s="26">
        <v>131.64379408836143</v>
      </c>
      <c r="BF55" s="26">
        <v>25.412148753909069</v>
      </c>
      <c r="BG55" s="26">
        <v>6.7100392774784003</v>
      </c>
      <c r="BH55" s="30">
        <v>5.1803487915641568</v>
      </c>
      <c r="BI55" s="26">
        <v>2.0722952069647063</v>
      </c>
      <c r="BJ55" s="26">
        <v>4.7887590289737236</v>
      </c>
      <c r="BK55" s="26">
        <v>0</v>
      </c>
      <c r="BL55" s="26">
        <v>68.947432647985423</v>
      </c>
      <c r="BM55" s="26">
        <v>75.808486883923862</v>
      </c>
      <c r="BN55" s="26">
        <v>131.08446100972898</v>
      </c>
      <c r="BO55" s="26">
        <v>0</v>
      </c>
      <c r="BP55" s="26">
        <v>0.55933307863245296</v>
      </c>
      <c r="BQ55" s="26">
        <v>0</v>
      </c>
      <c r="BR55" s="26">
        <v>0</v>
      </c>
      <c r="BS55" s="26">
        <v>0</v>
      </c>
      <c r="BT55" s="26">
        <v>0</v>
      </c>
      <c r="BU55" s="26">
        <v>0</v>
      </c>
      <c r="BV55" s="26">
        <v>0</v>
      </c>
      <c r="BW55" s="26">
        <v>0</v>
      </c>
      <c r="BX55" s="26">
        <v>71.54475478239425</v>
      </c>
      <c r="BY55" s="26"/>
      <c r="BZ55" s="26">
        <v>209.23666440712245</v>
      </c>
      <c r="CA55" s="26">
        <v>0</v>
      </c>
      <c r="CB55" s="26">
        <v>131.64379408836143</v>
      </c>
      <c r="CC55" s="26">
        <v>280.78141918951667</v>
      </c>
      <c r="CD55" s="115">
        <v>0.46884795464156742</v>
      </c>
      <c r="CE55" s="26">
        <v>75.65747192546381</v>
      </c>
      <c r="CF55" s="26">
        <v>2.5891077633678172</v>
      </c>
      <c r="CG55" s="26">
        <v>0</v>
      </c>
      <c r="CH55" s="26">
        <v>2.5891077633678172</v>
      </c>
      <c r="CI55" s="26">
        <v>0.12945363821591635</v>
      </c>
      <c r="CJ55" s="26">
        <v>0</v>
      </c>
      <c r="CK55" s="26">
        <v>0.12945363821591635</v>
      </c>
      <c r="CL55" s="26"/>
      <c r="CM55" s="26">
        <v>0</v>
      </c>
      <c r="CN55" s="26"/>
      <c r="CO55" s="26">
        <v>0</v>
      </c>
      <c r="CP55" s="26">
        <v>0</v>
      </c>
      <c r="CQ55" s="26">
        <v>0</v>
      </c>
      <c r="CR55" s="26">
        <v>0</v>
      </c>
      <c r="CS55" s="26">
        <v>0</v>
      </c>
      <c r="CT55" s="26">
        <v>0</v>
      </c>
      <c r="CU55" s="26">
        <v>0</v>
      </c>
      <c r="CV55" s="26">
        <v>9999</v>
      </c>
      <c r="CW55" s="30">
        <v>9999</v>
      </c>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464</v>
      </c>
      <c r="B56" s="7" t="s">
        <v>464</v>
      </c>
      <c r="C56" s="26">
        <v>10</v>
      </c>
      <c r="D56" s="26">
        <v>268.2525780049383</v>
      </c>
      <c r="E56" s="26">
        <v>0</v>
      </c>
      <c r="F56" s="26">
        <v>64.150000000000006</v>
      </c>
      <c r="G56" s="26">
        <v>0</v>
      </c>
      <c r="H56" s="26">
        <v>0</v>
      </c>
      <c r="I56" s="26" t="s">
        <v>153</v>
      </c>
      <c r="J56" s="26"/>
      <c r="K56" s="26"/>
      <c r="L56" s="26">
        <v>286.81995996501684</v>
      </c>
      <c r="M56" s="26">
        <v>7.6289117081932648E-4</v>
      </c>
      <c r="N56" s="26">
        <v>7.5738496446199882E-4</v>
      </c>
      <c r="O56" s="26">
        <v>0</v>
      </c>
      <c r="P56" s="26">
        <v>0</v>
      </c>
      <c r="Q56" s="26">
        <v>0</v>
      </c>
      <c r="R56" s="26">
        <v>12.792366947914351</v>
      </c>
      <c r="S56" s="26">
        <v>29.561214308600775</v>
      </c>
      <c r="T56" s="26">
        <v>0</v>
      </c>
      <c r="U56" s="26">
        <v>76.887676714142003</v>
      </c>
      <c r="V56" s="26" t="s">
        <v>326</v>
      </c>
      <c r="W56" s="26" t="s">
        <v>326</v>
      </c>
      <c r="X56" s="26" t="s">
        <v>326</v>
      </c>
      <c r="Y56" s="26" t="s">
        <v>326</v>
      </c>
      <c r="Z56" s="26">
        <v>0</v>
      </c>
      <c r="AA56" s="26">
        <v>0</v>
      </c>
      <c r="AB56" s="26">
        <v>0</v>
      </c>
      <c r="AC56" s="26">
        <v>0</v>
      </c>
      <c r="AD56" s="26">
        <v>0</v>
      </c>
      <c r="AE56" s="26">
        <v>0</v>
      </c>
      <c r="AF56" s="26">
        <v>0</v>
      </c>
      <c r="AG56" s="26">
        <v>0</v>
      </c>
      <c r="AH56" s="26">
        <v>12.792366947914351</v>
      </c>
      <c r="AI56" s="26">
        <v>29.561214308600775</v>
      </c>
      <c r="AJ56" s="26">
        <v>0</v>
      </c>
      <c r="AK56" s="26">
        <v>76.887676714142003</v>
      </c>
      <c r="AL56" s="26">
        <v>119.24125797065713</v>
      </c>
      <c r="AM56" s="26">
        <v>137.95579003476965</v>
      </c>
      <c r="AN56" s="26">
        <v>0.26956643940535746</v>
      </c>
      <c r="AO56" s="26">
        <v>0</v>
      </c>
      <c r="AP56" s="26">
        <v>0</v>
      </c>
      <c r="AQ56" s="26">
        <v>138.22535647417502</v>
      </c>
      <c r="AR56" s="26">
        <v>12.792366947914351</v>
      </c>
      <c r="AS56" s="30">
        <v>10.80529952251808</v>
      </c>
      <c r="AT56" s="26">
        <v>137.95579003476965</v>
      </c>
      <c r="AU56" s="26">
        <v>0.31908637391011974</v>
      </c>
      <c r="AV56" s="26">
        <v>0</v>
      </c>
      <c r="AW56" s="26">
        <v>0</v>
      </c>
      <c r="AX56" s="26">
        <v>138.27487640867977</v>
      </c>
      <c r="AY56" s="26">
        <v>29.561214308600775</v>
      </c>
      <c r="AZ56" s="30">
        <v>4.6775776855840787</v>
      </c>
      <c r="BA56" s="26">
        <v>137.95579003476965</v>
      </c>
      <c r="BB56" s="26">
        <v>0.58865281331547714</v>
      </c>
      <c r="BC56" s="26">
        <v>0</v>
      </c>
      <c r="BD56" s="26">
        <v>0</v>
      </c>
      <c r="BE56" s="26">
        <v>138.54444284808514</v>
      </c>
      <c r="BF56" s="26">
        <v>42.353581256515128</v>
      </c>
      <c r="BG56" s="26">
        <v>10.714514211547176</v>
      </c>
      <c r="BH56" s="30">
        <v>3.2711387971890393</v>
      </c>
      <c r="BI56" s="26">
        <v>3.281796535319387</v>
      </c>
      <c r="BJ56" s="26">
        <v>7.5837326346878218</v>
      </c>
      <c r="BK56" s="26">
        <v>0</v>
      </c>
      <c r="BL56" s="26">
        <v>19.725021340977698</v>
      </c>
      <c r="BM56" s="26">
        <v>30.590550510984908</v>
      </c>
      <c r="BN56" s="26">
        <v>137.95579003476965</v>
      </c>
      <c r="BO56" s="26">
        <v>0</v>
      </c>
      <c r="BP56" s="26">
        <v>0.58865281331547714</v>
      </c>
      <c r="BQ56" s="26">
        <v>0</v>
      </c>
      <c r="BR56" s="26">
        <v>0</v>
      </c>
      <c r="BS56" s="26">
        <v>0</v>
      </c>
      <c r="BT56" s="26">
        <v>0</v>
      </c>
      <c r="BU56" s="26">
        <v>0</v>
      </c>
      <c r="BV56" s="26">
        <v>0</v>
      </c>
      <c r="BW56" s="26">
        <v>0</v>
      </c>
      <c r="BX56" s="26">
        <v>119.24125797065713</v>
      </c>
      <c r="BY56" s="26"/>
      <c r="BZ56" s="26">
        <v>0</v>
      </c>
      <c r="CA56" s="26">
        <v>0</v>
      </c>
      <c r="CB56" s="26">
        <v>138.54444284808514</v>
      </c>
      <c r="CC56" s="26">
        <v>119.24125797065713</v>
      </c>
      <c r="CD56" s="30">
        <v>1.1618834387186534</v>
      </c>
      <c r="CE56" s="26">
        <v>30.439535552524873</v>
      </c>
      <c r="CF56" s="26">
        <v>2.7248264533357101</v>
      </c>
      <c r="CG56" s="26">
        <v>0</v>
      </c>
      <c r="CH56" s="26">
        <v>2.7248264533357101</v>
      </c>
      <c r="CI56" s="26">
        <v>0.13623948098338298</v>
      </c>
      <c r="CJ56" s="26">
        <v>0</v>
      </c>
      <c r="CK56" s="26">
        <v>0.13623948098338298</v>
      </c>
      <c r="CL56" s="26"/>
      <c r="CM56" s="26">
        <v>0</v>
      </c>
      <c r="CN56" s="26"/>
      <c r="CO56" s="26">
        <v>0</v>
      </c>
      <c r="CP56" s="26">
        <v>0</v>
      </c>
      <c r="CQ56" s="26">
        <v>0</v>
      </c>
      <c r="CR56" s="26">
        <v>0</v>
      </c>
      <c r="CS56" s="26">
        <v>0</v>
      </c>
      <c r="CT56" s="26">
        <v>0</v>
      </c>
      <c r="CU56" s="26">
        <v>0</v>
      </c>
      <c r="CV56" s="26">
        <v>9999</v>
      </c>
      <c r="CW56" s="30">
        <v>9999</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462</v>
      </c>
      <c r="B57" s="7" t="s">
        <v>462</v>
      </c>
      <c r="C57" s="26">
        <v>10</v>
      </c>
      <c r="D57" s="26">
        <v>155.81570539639128</v>
      </c>
      <c r="E57" s="26">
        <v>0</v>
      </c>
      <c r="F57" s="26">
        <v>24.056249999999999</v>
      </c>
      <c r="G57" s="26">
        <v>0</v>
      </c>
      <c r="H57" s="26">
        <v>5.8759579034720248</v>
      </c>
      <c r="I57" s="26" t="s">
        <v>153</v>
      </c>
      <c r="J57" s="26"/>
      <c r="K57" s="26"/>
      <c r="L57" s="26">
        <v>166.60065195306746</v>
      </c>
      <c r="M57" s="26">
        <v>4.4312873637957688E-4</v>
      </c>
      <c r="N57" s="26">
        <v>4.3993043187862515E-4</v>
      </c>
      <c r="O57" s="26">
        <v>0</v>
      </c>
      <c r="P57" s="26">
        <v>0</v>
      </c>
      <c r="Q57" s="26">
        <v>0</v>
      </c>
      <c r="R57" s="26">
        <v>4.7971376054678805</v>
      </c>
      <c r="S57" s="26">
        <v>11.085455365725288</v>
      </c>
      <c r="T57" s="26">
        <v>0</v>
      </c>
      <c r="U57" s="26">
        <v>28.832878767803244</v>
      </c>
      <c r="V57" s="26" t="s">
        <v>326</v>
      </c>
      <c r="W57" s="26" t="s">
        <v>326</v>
      </c>
      <c r="X57" s="26" t="s">
        <v>326</v>
      </c>
      <c r="Y57" s="26" t="s">
        <v>326</v>
      </c>
      <c r="Z57" s="26">
        <v>0</v>
      </c>
      <c r="AA57" s="26">
        <v>0</v>
      </c>
      <c r="AB57" s="26">
        <v>0</v>
      </c>
      <c r="AC57" s="26">
        <v>0</v>
      </c>
      <c r="AD57" s="26">
        <v>0</v>
      </c>
      <c r="AE57" s="26">
        <v>0</v>
      </c>
      <c r="AF57" s="26">
        <v>0</v>
      </c>
      <c r="AG57" s="26">
        <v>5.8759579034720248</v>
      </c>
      <c r="AH57" s="26">
        <v>4.7971376054678805</v>
      </c>
      <c r="AI57" s="26">
        <v>11.085455365725288</v>
      </c>
      <c r="AJ57" s="26">
        <v>0</v>
      </c>
      <c r="AK57" s="26">
        <v>34.708836671275272</v>
      </c>
      <c r="AL57" s="26">
        <v>50.591429642468441</v>
      </c>
      <c r="AM57" s="26">
        <v>80.132235438901759</v>
      </c>
      <c r="AN57" s="26">
        <v>0.15657886764602169</v>
      </c>
      <c r="AO57" s="26">
        <v>0</v>
      </c>
      <c r="AP57" s="26">
        <v>0</v>
      </c>
      <c r="AQ57" s="26">
        <v>80.288814306547778</v>
      </c>
      <c r="AR57" s="26">
        <v>4.7971376054678805</v>
      </c>
      <c r="AS57" s="30">
        <v>16.73681701667946</v>
      </c>
      <c r="AT57" s="26">
        <v>80.132235438901759</v>
      </c>
      <c r="AU57" s="26">
        <v>0.18534274228770581</v>
      </c>
      <c r="AV57" s="26">
        <v>0</v>
      </c>
      <c r="AW57" s="26">
        <v>0</v>
      </c>
      <c r="AX57" s="26">
        <v>80.317578181189461</v>
      </c>
      <c r="AY57" s="26">
        <v>11.085455365725288</v>
      </c>
      <c r="AZ57" s="30">
        <v>7.2453115845399036</v>
      </c>
      <c r="BA57" s="26">
        <v>80.132235438901759</v>
      </c>
      <c r="BB57" s="26">
        <v>0.3419216099337275</v>
      </c>
      <c r="BC57" s="26">
        <v>0</v>
      </c>
      <c r="BD57" s="26">
        <v>0</v>
      </c>
      <c r="BE57" s="26">
        <v>80.47415704883548</v>
      </c>
      <c r="BF57" s="26">
        <v>15.882592971193169</v>
      </c>
      <c r="BG57" s="26">
        <v>6.8637774620809955</v>
      </c>
      <c r="BH57" s="30">
        <v>5.06681479496417</v>
      </c>
      <c r="BI57" s="26">
        <v>2.1187298935483838</v>
      </c>
      <c r="BJ57" s="26">
        <v>4.8960625269926412</v>
      </c>
      <c r="BK57" s="26">
        <v>0</v>
      </c>
      <c r="BL57" s="26">
        <v>15.32969363686761</v>
      </c>
      <c r="BM57" s="26">
        <v>22.344486057408638</v>
      </c>
      <c r="BN57" s="26">
        <v>80.132235438901759</v>
      </c>
      <c r="BO57" s="26">
        <v>0</v>
      </c>
      <c r="BP57" s="26">
        <v>0.3419216099337275</v>
      </c>
      <c r="BQ57" s="26">
        <v>0</v>
      </c>
      <c r="BR57" s="26">
        <v>0</v>
      </c>
      <c r="BS57" s="26">
        <v>0</v>
      </c>
      <c r="BT57" s="26">
        <v>0</v>
      </c>
      <c r="BU57" s="26">
        <v>0</v>
      </c>
      <c r="BV57" s="26">
        <v>0</v>
      </c>
      <c r="BW57" s="26">
        <v>0</v>
      </c>
      <c r="BX57" s="26">
        <v>44.715471738996413</v>
      </c>
      <c r="BY57" s="26"/>
      <c r="BZ57" s="26">
        <v>0</v>
      </c>
      <c r="CA57" s="26">
        <v>5.8759579034720248</v>
      </c>
      <c r="CB57" s="26">
        <v>80.47415704883548</v>
      </c>
      <c r="CC57" s="26">
        <v>50.591429642468441</v>
      </c>
      <c r="CD57" s="30">
        <v>1.5906677794549278</v>
      </c>
      <c r="CE57" s="26">
        <v>22.193471098948613</v>
      </c>
      <c r="CF57" s="26">
        <v>1.5827275885543786</v>
      </c>
      <c r="CG57" s="26">
        <v>0</v>
      </c>
      <c r="CH57" s="26">
        <v>1.5827275885543786</v>
      </c>
      <c r="CI57" s="26">
        <v>7.9135309677707044E-2</v>
      </c>
      <c r="CJ57" s="26">
        <v>0</v>
      </c>
      <c r="CK57" s="26">
        <v>7.9135309677707044E-2</v>
      </c>
      <c r="CL57" s="26"/>
      <c r="CM57" s="26">
        <v>0</v>
      </c>
      <c r="CN57" s="26"/>
      <c r="CO57" s="26">
        <v>0</v>
      </c>
      <c r="CP57" s="26">
        <v>0</v>
      </c>
      <c r="CQ57" s="26">
        <v>0</v>
      </c>
      <c r="CR57" s="26">
        <v>0</v>
      </c>
      <c r="CS57" s="26">
        <v>0</v>
      </c>
      <c r="CT57" s="26">
        <v>0</v>
      </c>
      <c r="CU57" s="26">
        <v>0</v>
      </c>
      <c r="CV57" s="26">
        <v>9999</v>
      </c>
      <c r="CW57" s="30">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472</v>
      </c>
      <c r="B58" s="7" t="s">
        <v>472</v>
      </c>
      <c r="C58" s="26">
        <v>10</v>
      </c>
      <c r="D58" s="26">
        <v>189.70378431349377</v>
      </c>
      <c r="E58" s="26">
        <v>0</v>
      </c>
      <c r="F58" s="26">
        <v>166.79</v>
      </c>
      <c r="G58" s="26">
        <v>4.8112499999999994</v>
      </c>
      <c r="H58" s="26">
        <v>0</v>
      </c>
      <c r="I58" s="26" t="s">
        <v>153</v>
      </c>
      <c r="J58" s="26"/>
      <c r="K58" s="26"/>
      <c r="L58" s="26">
        <v>202.83432959591843</v>
      </c>
      <c r="M58" s="26">
        <v>5.3950401222654422E-4</v>
      </c>
      <c r="N58" s="26">
        <v>5.3561011420340265E-4</v>
      </c>
      <c r="O58" s="26">
        <v>0</v>
      </c>
      <c r="P58" s="26">
        <v>0</v>
      </c>
      <c r="Q58" s="26">
        <v>0</v>
      </c>
      <c r="R58" s="26">
        <v>33.260154064577307</v>
      </c>
      <c r="S58" s="26">
        <v>76.859157202362013</v>
      </c>
      <c r="T58" s="26">
        <v>0</v>
      </c>
      <c r="U58" s="26">
        <v>199.90795945676916</v>
      </c>
      <c r="V58" s="26" t="s">
        <v>326</v>
      </c>
      <c r="W58" s="26" t="s">
        <v>326</v>
      </c>
      <c r="X58" s="26" t="s">
        <v>326</v>
      </c>
      <c r="Y58" s="26" t="s">
        <v>326</v>
      </c>
      <c r="Z58" s="26">
        <v>0</v>
      </c>
      <c r="AA58" s="26">
        <v>0</v>
      </c>
      <c r="AB58" s="26">
        <v>0</v>
      </c>
      <c r="AC58" s="26">
        <v>65.386457627225766</v>
      </c>
      <c r="AD58" s="26">
        <v>0</v>
      </c>
      <c r="AE58" s="26">
        <v>0</v>
      </c>
      <c r="AF58" s="26">
        <v>0</v>
      </c>
      <c r="AG58" s="26">
        <v>0</v>
      </c>
      <c r="AH58" s="26">
        <v>33.260154064577307</v>
      </c>
      <c r="AI58" s="26">
        <v>76.859157202362013</v>
      </c>
      <c r="AJ58" s="26">
        <v>0</v>
      </c>
      <c r="AK58" s="26">
        <v>265.29441708399492</v>
      </c>
      <c r="AL58" s="26">
        <v>375.41372835093426</v>
      </c>
      <c r="AM58" s="26">
        <v>97.560051918948517</v>
      </c>
      <c r="AN58" s="26">
        <v>0.19063292535503246</v>
      </c>
      <c r="AO58" s="26">
        <v>0</v>
      </c>
      <c r="AP58" s="26">
        <v>0</v>
      </c>
      <c r="AQ58" s="26">
        <v>97.750684844303549</v>
      </c>
      <c r="AR58" s="26">
        <v>33.260154064577307</v>
      </c>
      <c r="AS58" s="30">
        <v>2.9389727015248517</v>
      </c>
      <c r="AT58" s="26">
        <v>97.560051918948517</v>
      </c>
      <c r="AU58" s="26">
        <v>0.2256526036163792</v>
      </c>
      <c r="AV58" s="26">
        <v>0</v>
      </c>
      <c r="AW58" s="26">
        <v>0</v>
      </c>
      <c r="AX58" s="26">
        <v>97.785704522564899</v>
      </c>
      <c r="AY58" s="26">
        <v>76.859157202362013</v>
      </c>
      <c r="AZ58" s="30">
        <v>1.2722713607840572</v>
      </c>
      <c r="BA58" s="26">
        <v>97.560051918948517</v>
      </c>
      <c r="BB58" s="26">
        <v>0.41628552897141169</v>
      </c>
      <c r="BC58" s="26">
        <v>0</v>
      </c>
      <c r="BD58" s="26">
        <v>0</v>
      </c>
      <c r="BE58" s="26">
        <v>97.976337447919931</v>
      </c>
      <c r="BF58" s="26">
        <v>110.11931126693932</v>
      </c>
      <c r="BG58" s="26">
        <v>39.796718170082052</v>
      </c>
      <c r="BH58" s="115">
        <v>0.88972893419589494</v>
      </c>
      <c r="BI58" s="26">
        <v>12.065710755901076</v>
      </c>
      <c r="BJ58" s="26">
        <v>27.882022372641003</v>
      </c>
      <c r="BK58" s="26">
        <v>0</v>
      </c>
      <c r="BL58" s="26">
        <v>96.240254794849335</v>
      </c>
      <c r="BM58" s="26">
        <v>136.18798792339143</v>
      </c>
      <c r="BN58" s="26">
        <v>97.560051918948517</v>
      </c>
      <c r="BO58" s="26">
        <v>0</v>
      </c>
      <c r="BP58" s="26">
        <v>0.41628552897141169</v>
      </c>
      <c r="BQ58" s="26">
        <v>0</v>
      </c>
      <c r="BR58" s="26">
        <v>0</v>
      </c>
      <c r="BS58" s="26">
        <v>0</v>
      </c>
      <c r="BT58" s="26">
        <v>0</v>
      </c>
      <c r="BU58" s="26">
        <v>0</v>
      </c>
      <c r="BV58" s="26">
        <v>0</v>
      </c>
      <c r="BW58" s="26">
        <v>0</v>
      </c>
      <c r="BX58" s="26">
        <v>310.02727072370851</v>
      </c>
      <c r="BY58" s="26"/>
      <c r="BZ58" s="26">
        <v>65.386457627225766</v>
      </c>
      <c r="CA58" s="26">
        <v>0</v>
      </c>
      <c r="CB58" s="26">
        <v>97.976337447919931</v>
      </c>
      <c r="CC58" s="26">
        <v>375.41372835093426</v>
      </c>
      <c r="CD58" s="115">
        <v>0.26098229779261645</v>
      </c>
      <c r="CE58" s="26">
        <v>136.03697296493141</v>
      </c>
      <c r="CF58" s="26">
        <v>1.9269521793217717</v>
      </c>
      <c r="CG58" s="26">
        <v>0</v>
      </c>
      <c r="CH58" s="26">
        <v>1.9269521793217717</v>
      </c>
      <c r="CI58" s="26">
        <v>9.6346306558061229E-2</v>
      </c>
      <c r="CJ58" s="26">
        <v>0</v>
      </c>
      <c r="CK58" s="26">
        <v>9.6346306558061229E-2</v>
      </c>
      <c r="CL58" s="26"/>
      <c r="CM58" s="26">
        <v>0</v>
      </c>
      <c r="CN58" s="26"/>
      <c r="CO58" s="26">
        <v>0</v>
      </c>
      <c r="CP58" s="26">
        <v>0</v>
      </c>
      <c r="CQ58" s="26">
        <v>0</v>
      </c>
      <c r="CR58" s="26">
        <v>0</v>
      </c>
      <c r="CS58" s="26">
        <v>0</v>
      </c>
      <c r="CT58" s="26">
        <v>0</v>
      </c>
      <c r="CU58" s="26">
        <v>0</v>
      </c>
      <c r="CV58" s="26">
        <v>9999</v>
      </c>
      <c r="CW58" s="30">
        <v>9999</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470</v>
      </c>
      <c r="B59" s="7" t="s">
        <v>470</v>
      </c>
      <c r="C59" s="26">
        <v>10</v>
      </c>
      <c r="D59" s="26">
        <v>189.70378431349377</v>
      </c>
      <c r="E59" s="26">
        <v>0</v>
      </c>
      <c r="F59" s="26">
        <v>64.150000000000006</v>
      </c>
      <c r="G59" s="26">
        <v>15.395999999999999</v>
      </c>
      <c r="H59" s="26">
        <v>0</v>
      </c>
      <c r="I59" s="26" t="s">
        <v>153</v>
      </c>
      <c r="J59" s="26"/>
      <c r="K59" s="26"/>
      <c r="L59" s="26">
        <v>202.83432959591843</v>
      </c>
      <c r="M59" s="26">
        <v>5.3950401222654422E-4</v>
      </c>
      <c r="N59" s="26">
        <v>5.3561011420340265E-4</v>
      </c>
      <c r="O59" s="26">
        <v>0</v>
      </c>
      <c r="P59" s="26">
        <v>0</v>
      </c>
      <c r="Q59" s="26">
        <v>0</v>
      </c>
      <c r="R59" s="26">
        <v>12.792366947914351</v>
      </c>
      <c r="S59" s="26">
        <v>29.561214308600775</v>
      </c>
      <c r="T59" s="26">
        <v>0</v>
      </c>
      <c r="U59" s="26">
        <v>76.887676714142003</v>
      </c>
      <c r="V59" s="26" t="s">
        <v>326</v>
      </c>
      <c r="W59" s="26" t="s">
        <v>326</v>
      </c>
      <c r="X59" s="26" t="s">
        <v>326</v>
      </c>
      <c r="Y59" s="26" t="s">
        <v>326</v>
      </c>
      <c r="Z59" s="26">
        <v>0</v>
      </c>
      <c r="AA59" s="26">
        <v>0</v>
      </c>
      <c r="AB59" s="26">
        <v>0</v>
      </c>
      <c r="AC59" s="26">
        <v>209.23666440712245</v>
      </c>
      <c r="AD59" s="26">
        <v>0</v>
      </c>
      <c r="AE59" s="26">
        <v>0</v>
      </c>
      <c r="AF59" s="26">
        <v>0</v>
      </c>
      <c r="AG59" s="26">
        <v>0</v>
      </c>
      <c r="AH59" s="26">
        <v>12.792366947914351</v>
      </c>
      <c r="AI59" s="26">
        <v>29.561214308600775</v>
      </c>
      <c r="AJ59" s="26">
        <v>0</v>
      </c>
      <c r="AK59" s="26">
        <v>286.12434112126448</v>
      </c>
      <c r="AL59" s="26">
        <v>328.47792237777958</v>
      </c>
      <c r="AM59" s="26">
        <v>97.560051918948517</v>
      </c>
      <c r="AN59" s="26">
        <v>0.19063292535503246</v>
      </c>
      <c r="AO59" s="26">
        <v>0</v>
      </c>
      <c r="AP59" s="26">
        <v>0</v>
      </c>
      <c r="AQ59" s="26">
        <v>97.750684844303549</v>
      </c>
      <c r="AR59" s="26">
        <v>12.792366947914351</v>
      </c>
      <c r="AS59" s="30">
        <v>7.6413290239646132</v>
      </c>
      <c r="AT59" s="26">
        <v>97.560051918948517</v>
      </c>
      <c r="AU59" s="26">
        <v>0.2256526036163792</v>
      </c>
      <c r="AV59" s="26">
        <v>0</v>
      </c>
      <c r="AW59" s="26">
        <v>0</v>
      </c>
      <c r="AX59" s="26">
        <v>97.785704522564899</v>
      </c>
      <c r="AY59" s="26">
        <v>29.561214308600775</v>
      </c>
      <c r="AZ59" s="30">
        <v>3.3079055380385491</v>
      </c>
      <c r="BA59" s="26">
        <v>97.560051918948517</v>
      </c>
      <c r="BB59" s="26">
        <v>0.41628552897141169</v>
      </c>
      <c r="BC59" s="26">
        <v>0</v>
      </c>
      <c r="BD59" s="26">
        <v>0</v>
      </c>
      <c r="BE59" s="26">
        <v>97.976337447919931</v>
      </c>
      <c r="BF59" s="26">
        <v>42.353581256515128</v>
      </c>
      <c r="BG59" s="26">
        <v>15.213497783286925</v>
      </c>
      <c r="BH59" s="30">
        <v>2.3132952289093267</v>
      </c>
      <c r="BI59" s="26">
        <v>4.6406579830388761</v>
      </c>
      <c r="BJ59" s="26">
        <v>10.723854758708079</v>
      </c>
      <c r="BK59" s="26">
        <v>0</v>
      </c>
      <c r="BL59" s="26">
        <v>103.79667915816144</v>
      </c>
      <c r="BM59" s="26">
        <v>119.16119189990837</v>
      </c>
      <c r="BN59" s="26">
        <v>97.560051918948517</v>
      </c>
      <c r="BO59" s="26">
        <v>0</v>
      </c>
      <c r="BP59" s="26">
        <v>0.41628552897141169</v>
      </c>
      <c r="BQ59" s="26">
        <v>0</v>
      </c>
      <c r="BR59" s="26">
        <v>0</v>
      </c>
      <c r="BS59" s="26">
        <v>0</v>
      </c>
      <c r="BT59" s="26">
        <v>0</v>
      </c>
      <c r="BU59" s="26">
        <v>0</v>
      </c>
      <c r="BV59" s="26">
        <v>0</v>
      </c>
      <c r="BW59" s="26">
        <v>0</v>
      </c>
      <c r="BX59" s="26">
        <v>119.24125797065713</v>
      </c>
      <c r="BY59" s="26"/>
      <c r="BZ59" s="26">
        <v>209.23666440712245</v>
      </c>
      <c r="CA59" s="26">
        <v>0</v>
      </c>
      <c r="CB59" s="26">
        <v>97.976337447919931</v>
      </c>
      <c r="CC59" s="26">
        <v>328.47792237777958</v>
      </c>
      <c r="CD59" s="115">
        <v>0.29827373705572274</v>
      </c>
      <c r="CE59" s="26">
        <v>119.01017694144834</v>
      </c>
      <c r="CF59" s="26">
        <v>1.9269521793217717</v>
      </c>
      <c r="CG59" s="26">
        <v>0</v>
      </c>
      <c r="CH59" s="26">
        <v>1.9269521793217717</v>
      </c>
      <c r="CI59" s="26">
        <v>9.6346306558061229E-2</v>
      </c>
      <c r="CJ59" s="26">
        <v>0</v>
      </c>
      <c r="CK59" s="26">
        <v>9.6346306558061229E-2</v>
      </c>
      <c r="CL59" s="26"/>
      <c r="CM59" s="26">
        <v>0</v>
      </c>
      <c r="CN59" s="26"/>
      <c r="CO59" s="26">
        <v>0</v>
      </c>
      <c r="CP59" s="26">
        <v>0</v>
      </c>
      <c r="CQ59" s="26">
        <v>0</v>
      </c>
      <c r="CR59" s="26">
        <v>0</v>
      </c>
      <c r="CS59" s="26">
        <v>0</v>
      </c>
      <c r="CT59" s="26">
        <v>0</v>
      </c>
      <c r="CU59" s="26">
        <v>0</v>
      </c>
      <c r="CV59" s="26">
        <v>9999</v>
      </c>
      <c r="CW59" s="30">
        <v>9999</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463</v>
      </c>
      <c r="B60" s="7" t="s">
        <v>463</v>
      </c>
      <c r="C60" s="26">
        <v>10</v>
      </c>
      <c r="D60" s="26">
        <v>401.32895738875931</v>
      </c>
      <c r="E60" s="26">
        <v>0</v>
      </c>
      <c r="F60" s="26">
        <v>49.322923996876881</v>
      </c>
      <c r="G60" s="26">
        <v>0</v>
      </c>
      <c r="H60" s="26">
        <v>0</v>
      </c>
      <c r="I60" s="26" t="s">
        <v>153</v>
      </c>
      <c r="J60" s="26"/>
      <c r="K60" s="26"/>
      <c r="L60" s="26">
        <v>429.10735973962136</v>
      </c>
      <c r="M60" s="26">
        <v>1.1413508882676007E-3</v>
      </c>
      <c r="N60" s="26">
        <v>1.1331131293875613E-3</v>
      </c>
      <c r="O60" s="26">
        <v>0</v>
      </c>
      <c r="P60" s="26">
        <v>0</v>
      </c>
      <c r="Q60" s="26">
        <v>0</v>
      </c>
      <c r="R60" s="26">
        <v>9.8356499253646028</v>
      </c>
      <c r="S60" s="26">
        <v>22.728690983608814</v>
      </c>
      <c r="T60" s="26">
        <v>0</v>
      </c>
      <c r="U60" s="26">
        <v>59.116524315948027</v>
      </c>
      <c r="V60" s="26" t="s">
        <v>326</v>
      </c>
      <c r="W60" s="26" t="s">
        <v>326</v>
      </c>
      <c r="X60" s="26" t="s">
        <v>326</v>
      </c>
      <c r="Y60" s="26" t="s">
        <v>326</v>
      </c>
      <c r="Z60" s="26">
        <v>0</v>
      </c>
      <c r="AA60" s="26">
        <v>0</v>
      </c>
      <c r="AB60" s="26">
        <v>0</v>
      </c>
      <c r="AC60" s="26">
        <v>0</v>
      </c>
      <c r="AD60" s="26">
        <v>0</v>
      </c>
      <c r="AE60" s="26">
        <v>0</v>
      </c>
      <c r="AF60" s="26">
        <v>0</v>
      </c>
      <c r="AG60" s="26">
        <v>0</v>
      </c>
      <c r="AH60" s="26">
        <v>9.8356499253646028</v>
      </c>
      <c r="AI60" s="26">
        <v>22.728690983608814</v>
      </c>
      <c r="AJ60" s="26">
        <v>0</v>
      </c>
      <c r="AK60" s="26">
        <v>59.116524315948027</v>
      </c>
      <c r="AL60" s="26">
        <v>91.680865224921448</v>
      </c>
      <c r="AM60" s="26">
        <v>206.39374201793316</v>
      </c>
      <c r="AN60" s="26">
        <v>0.40329460718756149</v>
      </c>
      <c r="AO60" s="26">
        <v>0</v>
      </c>
      <c r="AP60" s="26">
        <v>0</v>
      </c>
      <c r="AQ60" s="26">
        <v>206.79703662512074</v>
      </c>
      <c r="AR60" s="26">
        <v>9.8356499253646028</v>
      </c>
      <c r="AS60" s="30">
        <v>21.025253866734676</v>
      </c>
      <c r="AT60" s="26">
        <v>206.39374201793316</v>
      </c>
      <c r="AU60" s="26">
        <v>0.47738069363848096</v>
      </c>
      <c r="AV60" s="26">
        <v>0</v>
      </c>
      <c r="AW60" s="26">
        <v>0</v>
      </c>
      <c r="AX60" s="26">
        <v>206.87112271157164</v>
      </c>
      <c r="AY60" s="26">
        <v>22.728690983608814</v>
      </c>
      <c r="AZ60" s="30">
        <v>9.1017614195538279</v>
      </c>
      <c r="BA60" s="26">
        <v>206.39374201793316</v>
      </c>
      <c r="BB60" s="26">
        <v>0.8806753008260424</v>
      </c>
      <c r="BC60" s="26">
        <v>0</v>
      </c>
      <c r="BD60" s="26">
        <v>0</v>
      </c>
      <c r="BE60" s="26">
        <v>207.27441731875922</v>
      </c>
      <c r="BF60" s="26">
        <v>32.564340908973421</v>
      </c>
      <c r="BG60" s="26">
        <v>5.432998337966283</v>
      </c>
      <c r="BH60" s="30">
        <v>6.3650733143394511</v>
      </c>
      <c r="BI60" s="26">
        <v>1.68658104015537</v>
      </c>
      <c r="BJ60" s="26">
        <v>3.8974322562709465</v>
      </c>
      <c r="BK60" s="26">
        <v>0</v>
      </c>
      <c r="BL60" s="26">
        <v>10.137083957618168</v>
      </c>
      <c r="BM60" s="26">
        <v>15.721097254044485</v>
      </c>
      <c r="BN60" s="26">
        <v>206.39374201793316</v>
      </c>
      <c r="BO60" s="26">
        <v>0</v>
      </c>
      <c r="BP60" s="26">
        <v>0.8806753008260424</v>
      </c>
      <c r="BQ60" s="26">
        <v>0</v>
      </c>
      <c r="BR60" s="26">
        <v>0</v>
      </c>
      <c r="BS60" s="26">
        <v>0</v>
      </c>
      <c r="BT60" s="26">
        <v>0</v>
      </c>
      <c r="BU60" s="26">
        <v>0</v>
      </c>
      <c r="BV60" s="26">
        <v>0</v>
      </c>
      <c r="BW60" s="26">
        <v>0</v>
      </c>
      <c r="BX60" s="26">
        <v>91.680865224921448</v>
      </c>
      <c r="BY60" s="26"/>
      <c r="BZ60" s="26">
        <v>0</v>
      </c>
      <c r="CA60" s="26">
        <v>0</v>
      </c>
      <c r="CB60" s="26">
        <v>207.27441731875922</v>
      </c>
      <c r="CC60" s="26">
        <v>91.680865224921448</v>
      </c>
      <c r="CD60" s="30">
        <v>2.2608252748297164</v>
      </c>
      <c r="CE60" s="26">
        <v>15.570082295584454</v>
      </c>
      <c r="CF60" s="26">
        <v>4.0765750238657521</v>
      </c>
      <c r="CG60" s="26">
        <v>0</v>
      </c>
      <c r="CH60" s="26">
        <v>4.0765750238657521</v>
      </c>
      <c r="CI60" s="26">
        <v>0.20382599587632011</v>
      </c>
      <c r="CJ60" s="26">
        <v>0</v>
      </c>
      <c r="CK60" s="26">
        <v>0.20382599587632011</v>
      </c>
      <c r="CL60" s="26"/>
      <c r="CM60" s="26">
        <v>0</v>
      </c>
      <c r="CN60" s="26"/>
      <c r="CO60" s="26">
        <v>0</v>
      </c>
      <c r="CP60" s="26">
        <v>0</v>
      </c>
      <c r="CQ60" s="26">
        <v>0</v>
      </c>
      <c r="CR60" s="26">
        <v>0</v>
      </c>
      <c r="CS60" s="26">
        <v>0</v>
      </c>
      <c r="CT60" s="26">
        <v>0</v>
      </c>
      <c r="CU60" s="26">
        <v>0</v>
      </c>
      <c r="CV60" s="26">
        <v>9999</v>
      </c>
      <c r="CW60" s="30">
        <v>9999</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459</v>
      </c>
      <c r="B61" s="7" t="s">
        <v>459</v>
      </c>
      <c r="C61" s="26">
        <v>10</v>
      </c>
      <c r="D61" s="26">
        <v>241.03672164516954</v>
      </c>
      <c r="E61" s="26">
        <v>0</v>
      </c>
      <c r="F61" s="26">
        <v>341.97227304501308</v>
      </c>
      <c r="G61" s="26">
        <v>0</v>
      </c>
      <c r="H61" s="26">
        <v>12.047572879472018</v>
      </c>
      <c r="I61" s="26" t="s">
        <v>153</v>
      </c>
      <c r="J61" s="26"/>
      <c r="K61" s="26"/>
      <c r="L61" s="26">
        <v>257.72032972258603</v>
      </c>
      <c r="M61" s="26">
        <v>6.8549121933489973E-4</v>
      </c>
      <c r="N61" s="26">
        <v>6.8054365111787558E-4</v>
      </c>
      <c r="O61" s="26">
        <v>0</v>
      </c>
      <c r="P61" s="26">
        <v>0</v>
      </c>
      <c r="Q61" s="26">
        <v>0</v>
      </c>
      <c r="R61" s="26">
        <v>68.19383948252792</v>
      </c>
      <c r="S61" s="26">
        <v>157.58559081968778</v>
      </c>
      <c r="T61" s="26">
        <v>0</v>
      </c>
      <c r="U61" s="26">
        <v>409.87456859057306</v>
      </c>
      <c r="V61" s="26" t="s">
        <v>326</v>
      </c>
      <c r="W61" s="26" t="s">
        <v>326</v>
      </c>
      <c r="X61" s="26" t="s">
        <v>326</v>
      </c>
      <c r="Y61" s="26" t="s">
        <v>326</v>
      </c>
      <c r="Z61" s="26">
        <v>0</v>
      </c>
      <c r="AA61" s="26">
        <v>0</v>
      </c>
      <c r="AB61" s="26">
        <v>0</v>
      </c>
      <c r="AC61" s="26">
        <v>0</v>
      </c>
      <c r="AD61" s="26">
        <v>0</v>
      </c>
      <c r="AE61" s="26">
        <v>0</v>
      </c>
      <c r="AF61" s="26">
        <v>0</v>
      </c>
      <c r="AG61" s="26">
        <v>12.047572879472018</v>
      </c>
      <c r="AH61" s="26">
        <v>68.19383948252792</v>
      </c>
      <c r="AI61" s="26">
        <v>157.58559081968778</v>
      </c>
      <c r="AJ61" s="26">
        <v>0</v>
      </c>
      <c r="AK61" s="26">
        <v>421.92214147004506</v>
      </c>
      <c r="AL61" s="26">
        <v>647.70157177226076</v>
      </c>
      <c r="AM61" s="26">
        <v>123.95933567258415</v>
      </c>
      <c r="AN61" s="26">
        <v>0.24221728381164886</v>
      </c>
      <c r="AO61" s="26">
        <v>0</v>
      </c>
      <c r="AP61" s="26">
        <v>0</v>
      </c>
      <c r="AQ61" s="26">
        <v>124.2015529563958</v>
      </c>
      <c r="AR61" s="26">
        <v>68.19383948252792</v>
      </c>
      <c r="AS61" s="30">
        <v>1.8213016586082931</v>
      </c>
      <c r="AT61" s="26">
        <v>123.95933567258415</v>
      </c>
      <c r="AU61" s="26">
        <v>0.28671311963132051</v>
      </c>
      <c r="AV61" s="26">
        <v>0</v>
      </c>
      <c r="AW61" s="26">
        <v>0</v>
      </c>
      <c r="AX61" s="26">
        <v>124.24604879221546</v>
      </c>
      <c r="AY61" s="26">
        <v>157.58559081968778</v>
      </c>
      <c r="AZ61" s="115">
        <v>0.78843533946184197</v>
      </c>
      <c r="BA61" s="26">
        <v>123.95933567258415</v>
      </c>
      <c r="BB61" s="26">
        <v>0.52893040344296938</v>
      </c>
      <c r="BC61" s="26">
        <v>0</v>
      </c>
      <c r="BD61" s="26">
        <v>0</v>
      </c>
      <c r="BE61" s="26">
        <v>124.48826607602712</v>
      </c>
      <c r="BF61" s="26">
        <v>225.7794303022157</v>
      </c>
      <c r="BG61" s="26">
        <v>64.311286823166725</v>
      </c>
      <c r="BH61" s="115">
        <v>0.55137115860995001</v>
      </c>
      <c r="BI61" s="26">
        <v>19.470028135363709</v>
      </c>
      <c r="BJ61" s="26">
        <v>44.992273646263051</v>
      </c>
      <c r="BK61" s="26">
        <v>0</v>
      </c>
      <c r="BL61" s="26">
        <v>120.46302169948098</v>
      </c>
      <c r="BM61" s="26">
        <v>184.92532348110771</v>
      </c>
      <c r="BN61" s="26">
        <v>123.95933567258415</v>
      </c>
      <c r="BO61" s="26">
        <v>0</v>
      </c>
      <c r="BP61" s="26">
        <v>0.52893040344296938</v>
      </c>
      <c r="BQ61" s="26">
        <v>0</v>
      </c>
      <c r="BR61" s="26">
        <v>0</v>
      </c>
      <c r="BS61" s="26">
        <v>0</v>
      </c>
      <c r="BT61" s="26">
        <v>0</v>
      </c>
      <c r="BU61" s="26">
        <v>0</v>
      </c>
      <c r="BV61" s="26">
        <v>0</v>
      </c>
      <c r="BW61" s="26">
        <v>0</v>
      </c>
      <c r="BX61" s="26">
        <v>635.65399889278876</v>
      </c>
      <c r="BY61" s="26"/>
      <c r="BZ61" s="26">
        <v>0</v>
      </c>
      <c r="CA61" s="26">
        <v>12.047572879472018</v>
      </c>
      <c r="CB61" s="26">
        <v>124.48826607602712</v>
      </c>
      <c r="CC61" s="26">
        <v>647.70157177226076</v>
      </c>
      <c r="CD61" s="115">
        <v>0.19220003702538274</v>
      </c>
      <c r="CE61" s="26">
        <v>184.77430852264771</v>
      </c>
      <c r="CF61" s="26">
        <v>2.448376229032859</v>
      </c>
      <c r="CG61" s="26">
        <v>0</v>
      </c>
      <c r="CH61" s="26">
        <v>2.448376229032859</v>
      </c>
      <c r="CI61" s="26">
        <v>0.12241715661822837</v>
      </c>
      <c r="CJ61" s="26">
        <v>0</v>
      </c>
      <c r="CK61" s="26">
        <v>0.12241715661822837</v>
      </c>
      <c r="CL61" s="26"/>
      <c r="CM61" s="26">
        <v>0</v>
      </c>
      <c r="CN61" s="26"/>
      <c r="CO61" s="26">
        <v>0</v>
      </c>
      <c r="CP61" s="26">
        <v>0</v>
      </c>
      <c r="CQ61" s="26">
        <v>0</v>
      </c>
      <c r="CR61" s="26">
        <v>0</v>
      </c>
      <c r="CS61" s="26">
        <v>0</v>
      </c>
      <c r="CT61" s="26">
        <v>0</v>
      </c>
      <c r="CU61" s="26">
        <v>0</v>
      </c>
      <c r="CV61" s="26">
        <v>9999</v>
      </c>
      <c r="CW61" s="30">
        <v>9999</v>
      </c>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469</v>
      </c>
      <c r="B62" s="7" t="s">
        <v>469</v>
      </c>
      <c r="C62" s="26">
        <v>10</v>
      </c>
      <c r="D62" s="26">
        <v>392.11107274840714</v>
      </c>
      <c r="E62" s="26">
        <v>0</v>
      </c>
      <c r="F62" s="26">
        <v>78.916678395003004</v>
      </c>
      <c r="G62" s="26">
        <v>4.8112499999999994</v>
      </c>
      <c r="H62" s="26">
        <v>0</v>
      </c>
      <c r="I62" s="26" t="s">
        <v>153</v>
      </c>
      <c r="J62" s="26"/>
      <c r="K62" s="26"/>
      <c r="L62" s="26">
        <v>419.25144960011363</v>
      </c>
      <c r="M62" s="26">
        <v>1.1151358827751789E-3</v>
      </c>
      <c r="N62" s="26">
        <v>1.107087332048833E-3</v>
      </c>
      <c r="O62" s="26">
        <v>0</v>
      </c>
      <c r="P62" s="26">
        <v>0</v>
      </c>
      <c r="Q62" s="26">
        <v>0</v>
      </c>
      <c r="R62" s="26">
        <v>15.737039880583364</v>
      </c>
      <c r="S62" s="26">
        <v>36.3659055737741</v>
      </c>
      <c r="T62" s="26">
        <v>0</v>
      </c>
      <c r="U62" s="26">
        <v>94.586438905516829</v>
      </c>
      <c r="V62" s="26" t="s">
        <v>326</v>
      </c>
      <c r="W62" s="26" t="s">
        <v>326</v>
      </c>
      <c r="X62" s="26" t="s">
        <v>326</v>
      </c>
      <c r="Y62" s="26" t="s">
        <v>326</v>
      </c>
      <c r="Z62" s="26">
        <v>0</v>
      </c>
      <c r="AA62" s="26">
        <v>0</v>
      </c>
      <c r="AB62" s="26">
        <v>0</v>
      </c>
      <c r="AC62" s="26">
        <v>65.386457627225766</v>
      </c>
      <c r="AD62" s="26">
        <v>0</v>
      </c>
      <c r="AE62" s="26">
        <v>0</v>
      </c>
      <c r="AF62" s="26">
        <v>0</v>
      </c>
      <c r="AG62" s="26">
        <v>0</v>
      </c>
      <c r="AH62" s="26">
        <v>15.737039880583364</v>
      </c>
      <c r="AI62" s="26">
        <v>36.3659055737741</v>
      </c>
      <c r="AJ62" s="26">
        <v>0</v>
      </c>
      <c r="AK62" s="26">
        <v>159.9728965327426</v>
      </c>
      <c r="AL62" s="26">
        <v>212.07584198710006</v>
      </c>
      <c r="AM62" s="26">
        <v>201.65320767725024</v>
      </c>
      <c r="AN62" s="26">
        <v>0.39403157471335609</v>
      </c>
      <c r="AO62" s="26">
        <v>0</v>
      </c>
      <c r="AP62" s="26">
        <v>0</v>
      </c>
      <c r="AQ62" s="26">
        <v>202.04723925196359</v>
      </c>
      <c r="AR62" s="26">
        <v>15.737039880583364</v>
      </c>
      <c r="AS62" s="30">
        <v>12.838960870986481</v>
      </c>
      <c r="AT62" s="26">
        <v>201.65320767725024</v>
      </c>
      <c r="AU62" s="26">
        <v>0.4664160221826204</v>
      </c>
      <c r="AV62" s="26">
        <v>0</v>
      </c>
      <c r="AW62" s="26">
        <v>0</v>
      </c>
      <c r="AX62" s="26">
        <v>202.11962369943285</v>
      </c>
      <c r="AY62" s="26">
        <v>36.3659055737741</v>
      </c>
      <c r="AZ62" s="30">
        <v>5.5579428178792529</v>
      </c>
      <c r="BA62" s="26">
        <v>201.65320767725024</v>
      </c>
      <c r="BB62" s="26">
        <v>0.8604475968959765</v>
      </c>
      <c r="BC62" s="26">
        <v>0</v>
      </c>
      <c r="BD62" s="26">
        <v>0</v>
      </c>
      <c r="BE62" s="26">
        <v>202.5136552741462</v>
      </c>
      <c r="BF62" s="26">
        <v>52.102945454357467</v>
      </c>
      <c r="BG62" s="26">
        <v>8.9934398250963348</v>
      </c>
      <c r="BH62" s="30">
        <v>3.8867985966657015</v>
      </c>
      <c r="BI62" s="26">
        <v>2.7619676461685061</v>
      </c>
      <c r="BJ62" s="26">
        <v>6.3824871373878551</v>
      </c>
      <c r="BK62" s="26">
        <v>0</v>
      </c>
      <c r="BL62" s="26">
        <v>28.076434185850097</v>
      </c>
      <c r="BM62" s="26">
        <v>37.22088896940646</v>
      </c>
      <c r="BN62" s="26">
        <v>201.65320767725024</v>
      </c>
      <c r="BO62" s="26">
        <v>0</v>
      </c>
      <c r="BP62" s="26">
        <v>0.8604475968959765</v>
      </c>
      <c r="BQ62" s="26">
        <v>0</v>
      </c>
      <c r="BR62" s="26">
        <v>0</v>
      </c>
      <c r="BS62" s="26">
        <v>0</v>
      </c>
      <c r="BT62" s="26">
        <v>0</v>
      </c>
      <c r="BU62" s="26">
        <v>0</v>
      </c>
      <c r="BV62" s="26">
        <v>0</v>
      </c>
      <c r="BW62" s="26">
        <v>0</v>
      </c>
      <c r="BX62" s="26">
        <v>146.68938435987428</v>
      </c>
      <c r="BY62" s="26"/>
      <c r="BZ62" s="26">
        <v>65.386457627225766</v>
      </c>
      <c r="CA62" s="26">
        <v>0</v>
      </c>
      <c r="CB62" s="26">
        <v>202.5136552741462</v>
      </c>
      <c r="CC62" s="26">
        <v>212.07584198710003</v>
      </c>
      <c r="CD62" s="115">
        <v>0.95491147589768632</v>
      </c>
      <c r="CE62" s="26">
        <v>37.069874010946428</v>
      </c>
      <c r="CF62" s="26">
        <v>3.9829426118359033</v>
      </c>
      <c r="CG62" s="26">
        <v>0</v>
      </c>
      <c r="CH62" s="26">
        <v>3.9829426118359033</v>
      </c>
      <c r="CI62" s="26">
        <v>0.19914443856005395</v>
      </c>
      <c r="CJ62" s="26">
        <v>0</v>
      </c>
      <c r="CK62" s="26">
        <v>0.19914443856005395</v>
      </c>
      <c r="CL62" s="26"/>
      <c r="CM62" s="26">
        <v>0</v>
      </c>
      <c r="CN62" s="26"/>
      <c r="CO62" s="26">
        <v>0</v>
      </c>
      <c r="CP62" s="26">
        <v>0</v>
      </c>
      <c r="CQ62" s="26">
        <v>0</v>
      </c>
      <c r="CR62" s="26">
        <v>0</v>
      </c>
      <c r="CS62" s="26">
        <v>0</v>
      </c>
      <c r="CT62" s="26">
        <v>0</v>
      </c>
      <c r="CU62" s="26">
        <v>0</v>
      </c>
      <c r="CV62" s="26">
        <v>9999</v>
      </c>
      <c r="CW62" s="30">
        <v>9999</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466</v>
      </c>
      <c r="B63" s="7" t="s">
        <v>466</v>
      </c>
      <c r="C63" s="26">
        <v>10</v>
      </c>
      <c r="D63" s="26">
        <v>392.11107274840714</v>
      </c>
      <c r="E63" s="26">
        <v>0</v>
      </c>
      <c r="F63" s="26">
        <v>38.489999999999995</v>
      </c>
      <c r="G63" s="26">
        <v>15.395999999999999</v>
      </c>
      <c r="H63" s="26">
        <v>0</v>
      </c>
      <c r="I63" s="26" t="s">
        <v>153</v>
      </c>
      <c r="J63" s="26"/>
      <c r="K63" s="26"/>
      <c r="L63" s="26">
        <v>419.25144960011363</v>
      </c>
      <c r="M63" s="26">
        <v>1.1151358827751789E-3</v>
      </c>
      <c r="N63" s="26">
        <v>1.107087332048833E-3</v>
      </c>
      <c r="O63" s="26">
        <v>0</v>
      </c>
      <c r="P63" s="26">
        <v>0</v>
      </c>
      <c r="Q63" s="26">
        <v>0</v>
      </c>
      <c r="R63" s="26">
        <v>7.6754201687486088</v>
      </c>
      <c r="S63" s="26">
        <v>17.73672858516046</v>
      </c>
      <c r="T63" s="26">
        <v>0</v>
      </c>
      <c r="U63" s="26">
        <v>46.132606028485185</v>
      </c>
      <c r="V63" s="26" t="s">
        <v>326</v>
      </c>
      <c r="W63" s="26" t="s">
        <v>326</v>
      </c>
      <c r="X63" s="26" t="s">
        <v>326</v>
      </c>
      <c r="Y63" s="26" t="s">
        <v>326</v>
      </c>
      <c r="Z63" s="26">
        <v>0</v>
      </c>
      <c r="AA63" s="26">
        <v>0</v>
      </c>
      <c r="AB63" s="26">
        <v>0</v>
      </c>
      <c r="AC63" s="26">
        <v>209.23666440712245</v>
      </c>
      <c r="AD63" s="26">
        <v>0</v>
      </c>
      <c r="AE63" s="26">
        <v>0</v>
      </c>
      <c r="AF63" s="26">
        <v>0</v>
      </c>
      <c r="AG63" s="26">
        <v>0</v>
      </c>
      <c r="AH63" s="26">
        <v>7.6754201687486088</v>
      </c>
      <c r="AI63" s="26">
        <v>17.73672858516046</v>
      </c>
      <c r="AJ63" s="26">
        <v>0</v>
      </c>
      <c r="AK63" s="26">
        <v>255.36927043560763</v>
      </c>
      <c r="AL63" s="26">
        <v>280.78141918951673</v>
      </c>
      <c r="AM63" s="26">
        <v>201.65320767725024</v>
      </c>
      <c r="AN63" s="26">
        <v>0.39403157471335609</v>
      </c>
      <c r="AO63" s="26">
        <v>0</v>
      </c>
      <c r="AP63" s="26">
        <v>0</v>
      </c>
      <c r="AQ63" s="26">
        <v>202.04723925196359</v>
      </c>
      <c r="AR63" s="26">
        <v>7.6754201687486088</v>
      </c>
      <c r="AS63" s="30">
        <v>26.323932085779887</v>
      </c>
      <c r="AT63" s="26">
        <v>201.65320767725024</v>
      </c>
      <c r="AU63" s="26">
        <v>0.4664160221826204</v>
      </c>
      <c r="AV63" s="26">
        <v>0</v>
      </c>
      <c r="AW63" s="26">
        <v>0</v>
      </c>
      <c r="AX63" s="26">
        <v>202.11962369943285</v>
      </c>
      <c r="AY63" s="26">
        <v>17.73672858516046</v>
      </c>
      <c r="AZ63" s="30">
        <v>11.395541332720029</v>
      </c>
      <c r="BA63" s="26">
        <v>201.65320767725024</v>
      </c>
      <c r="BB63" s="26">
        <v>0.8604475968959765</v>
      </c>
      <c r="BC63" s="26">
        <v>0</v>
      </c>
      <c r="BD63" s="26">
        <v>0</v>
      </c>
      <c r="BE63" s="26">
        <v>202.5136552741462</v>
      </c>
      <c r="BF63" s="26">
        <v>25.412148753909069</v>
      </c>
      <c r="BG63" s="26">
        <v>4.3090063168572428</v>
      </c>
      <c r="BH63" s="30">
        <v>7.9691669222971226</v>
      </c>
      <c r="BI63" s="26">
        <v>1.3470933757363668</v>
      </c>
      <c r="BJ63" s="26">
        <v>3.1129278995809049</v>
      </c>
      <c r="BK63" s="26">
        <v>0</v>
      </c>
      <c r="BL63" s="26">
        <v>44.819207940054994</v>
      </c>
      <c r="BM63" s="26">
        <v>49.279229215372276</v>
      </c>
      <c r="BN63" s="26">
        <v>201.65320767725024</v>
      </c>
      <c r="BO63" s="26">
        <v>0</v>
      </c>
      <c r="BP63" s="26">
        <v>0.8604475968959765</v>
      </c>
      <c r="BQ63" s="26">
        <v>0</v>
      </c>
      <c r="BR63" s="26">
        <v>0</v>
      </c>
      <c r="BS63" s="26">
        <v>0</v>
      </c>
      <c r="BT63" s="26">
        <v>0</v>
      </c>
      <c r="BU63" s="26">
        <v>0</v>
      </c>
      <c r="BV63" s="26">
        <v>0</v>
      </c>
      <c r="BW63" s="26">
        <v>0</v>
      </c>
      <c r="BX63" s="26">
        <v>71.54475478239425</v>
      </c>
      <c r="BY63" s="26"/>
      <c r="BZ63" s="26">
        <v>209.23666440712245</v>
      </c>
      <c r="CA63" s="26">
        <v>0</v>
      </c>
      <c r="CB63" s="26">
        <v>202.5136552741462</v>
      </c>
      <c r="CC63" s="26">
        <v>280.78141918951667</v>
      </c>
      <c r="CD63" s="115">
        <v>0.72125020187841304</v>
      </c>
      <c r="CE63" s="26">
        <v>49.12821425691223</v>
      </c>
      <c r="CF63" s="26">
        <v>3.9829426118359033</v>
      </c>
      <c r="CG63" s="26">
        <v>0</v>
      </c>
      <c r="CH63" s="26">
        <v>3.9829426118359033</v>
      </c>
      <c r="CI63" s="26">
        <v>0.19914443856005395</v>
      </c>
      <c r="CJ63" s="26">
        <v>0</v>
      </c>
      <c r="CK63" s="26">
        <v>0.19914443856005395</v>
      </c>
      <c r="CL63" s="26"/>
      <c r="CM63" s="26">
        <v>0</v>
      </c>
      <c r="CN63" s="26"/>
      <c r="CO63" s="26">
        <v>0</v>
      </c>
      <c r="CP63" s="26">
        <v>0</v>
      </c>
      <c r="CQ63" s="26">
        <v>0</v>
      </c>
      <c r="CR63" s="26">
        <v>0</v>
      </c>
      <c r="CS63" s="26">
        <v>0</v>
      </c>
      <c r="CT63" s="26">
        <v>0</v>
      </c>
      <c r="CU63" s="26">
        <v>0</v>
      </c>
      <c r="CV63" s="26">
        <v>9999</v>
      </c>
      <c r="CW63" s="30">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461</v>
      </c>
      <c r="B64" s="7" t="s">
        <v>461</v>
      </c>
      <c r="C64" s="26">
        <v>10</v>
      </c>
      <c r="D64" s="26">
        <v>677.76274432530477</v>
      </c>
      <c r="E64" s="26">
        <v>0</v>
      </c>
      <c r="F64" s="26">
        <v>64.150000000000006</v>
      </c>
      <c r="G64" s="26">
        <v>0</v>
      </c>
      <c r="H64" s="26">
        <v>0</v>
      </c>
      <c r="I64" s="26" t="s">
        <v>153</v>
      </c>
      <c r="J64" s="26"/>
      <c r="K64" s="26"/>
      <c r="L64" s="26">
        <v>724.6747995450213</v>
      </c>
      <c r="M64" s="26">
        <v>1.9275088329124388E-3</v>
      </c>
      <c r="N64" s="26">
        <v>1.9135969385354345E-3</v>
      </c>
      <c r="O64" s="26">
        <v>0</v>
      </c>
      <c r="P64" s="26">
        <v>0</v>
      </c>
      <c r="Q64" s="26">
        <v>0</v>
      </c>
      <c r="R64" s="26">
        <v>12.792366947914351</v>
      </c>
      <c r="S64" s="26">
        <v>29.561214308600775</v>
      </c>
      <c r="T64" s="26">
        <v>0</v>
      </c>
      <c r="U64" s="26">
        <v>76.887676714142003</v>
      </c>
      <c r="V64" s="26" t="s">
        <v>326</v>
      </c>
      <c r="W64" s="26" t="s">
        <v>326</v>
      </c>
      <c r="X64" s="26" t="s">
        <v>326</v>
      </c>
      <c r="Y64" s="26" t="s">
        <v>326</v>
      </c>
      <c r="Z64" s="26">
        <v>0</v>
      </c>
      <c r="AA64" s="26">
        <v>0</v>
      </c>
      <c r="AB64" s="26">
        <v>0</v>
      </c>
      <c r="AC64" s="26">
        <v>0</v>
      </c>
      <c r="AD64" s="26">
        <v>0</v>
      </c>
      <c r="AE64" s="26">
        <v>0</v>
      </c>
      <c r="AF64" s="26">
        <v>0</v>
      </c>
      <c r="AG64" s="26">
        <v>0</v>
      </c>
      <c r="AH64" s="26">
        <v>12.792366947914351</v>
      </c>
      <c r="AI64" s="26">
        <v>29.561214308600775</v>
      </c>
      <c r="AJ64" s="26">
        <v>0</v>
      </c>
      <c r="AK64" s="26">
        <v>76.887676714142003</v>
      </c>
      <c r="AL64" s="26">
        <v>119.24125797065713</v>
      </c>
      <c r="AM64" s="26">
        <v>348.55692923782379</v>
      </c>
      <c r="AN64" s="26">
        <v>0.68108232587428352</v>
      </c>
      <c r="AO64" s="26">
        <v>0</v>
      </c>
      <c r="AP64" s="26">
        <v>0</v>
      </c>
      <c r="AQ64" s="26">
        <v>349.23801156369808</v>
      </c>
      <c r="AR64" s="26">
        <v>12.792366947914351</v>
      </c>
      <c r="AS64" s="30">
        <v>27.300499820374316</v>
      </c>
      <c r="AT64" s="26">
        <v>348.55692923782379</v>
      </c>
      <c r="AU64" s="26">
        <v>0.80619861351025646</v>
      </c>
      <c r="AV64" s="26">
        <v>0</v>
      </c>
      <c r="AW64" s="26">
        <v>0</v>
      </c>
      <c r="AX64" s="26">
        <v>349.36312785133407</v>
      </c>
      <c r="AY64" s="26">
        <v>29.561214308600775</v>
      </c>
      <c r="AZ64" s="30">
        <v>11.818294208221602</v>
      </c>
      <c r="BA64" s="26">
        <v>348.55692923782379</v>
      </c>
      <c r="BB64" s="26">
        <v>1.4872809393845401</v>
      </c>
      <c r="BC64" s="26">
        <v>0</v>
      </c>
      <c r="BD64" s="26">
        <v>0</v>
      </c>
      <c r="BE64" s="26">
        <v>350.04421017720836</v>
      </c>
      <c r="BF64" s="26">
        <v>42.353581256515128</v>
      </c>
      <c r="BG64" s="26">
        <v>4.1494666416960877</v>
      </c>
      <c r="BH64" s="30">
        <v>8.2648078342457065</v>
      </c>
      <c r="BI64" s="26">
        <v>1.2989064218386126</v>
      </c>
      <c r="BJ64" s="26">
        <v>3.0015751783175091</v>
      </c>
      <c r="BK64" s="26">
        <v>0</v>
      </c>
      <c r="BL64" s="26">
        <v>7.8069912668142187</v>
      </c>
      <c r="BM64" s="26">
        <v>12.10747286697034</v>
      </c>
      <c r="BN64" s="26">
        <v>348.55692923782379</v>
      </c>
      <c r="BO64" s="26">
        <v>0</v>
      </c>
      <c r="BP64" s="26">
        <v>1.4872809393845401</v>
      </c>
      <c r="BQ64" s="26">
        <v>0</v>
      </c>
      <c r="BR64" s="26">
        <v>0</v>
      </c>
      <c r="BS64" s="26">
        <v>0</v>
      </c>
      <c r="BT64" s="26">
        <v>0</v>
      </c>
      <c r="BU64" s="26">
        <v>0</v>
      </c>
      <c r="BV64" s="26">
        <v>0</v>
      </c>
      <c r="BW64" s="26">
        <v>0</v>
      </c>
      <c r="BX64" s="26">
        <v>119.24125797065713</v>
      </c>
      <c r="BY64" s="26"/>
      <c r="BZ64" s="26">
        <v>0</v>
      </c>
      <c r="CA64" s="26">
        <v>0</v>
      </c>
      <c r="CB64" s="26">
        <v>350.04421017720836</v>
      </c>
      <c r="CC64" s="26">
        <v>119.24125797065713</v>
      </c>
      <c r="CD64" s="30">
        <v>2.9355964213606938</v>
      </c>
      <c r="CE64" s="26">
        <v>11.956457908510311</v>
      </c>
      <c r="CF64" s="26">
        <v>6.88450365904405</v>
      </c>
      <c r="CG64" s="26">
        <v>0</v>
      </c>
      <c r="CH64" s="26">
        <v>6.88450365904405</v>
      </c>
      <c r="CI64" s="26">
        <v>0.34422052978388512</v>
      </c>
      <c r="CJ64" s="26">
        <v>0</v>
      </c>
      <c r="CK64" s="26">
        <v>0.34422052978388512</v>
      </c>
      <c r="CL64" s="26"/>
      <c r="CM64" s="26">
        <v>0</v>
      </c>
      <c r="CN64" s="26"/>
      <c r="CO64" s="26">
        <v>0</v>
      </c>
      <c r="CP64" s="26">
        <v>0</v>
      </c>
      <c r="CQ64" s="26">
        <v>0</v>
      </c>
      <c r="CR64" s="26">
        <v>0</v>
      </c>
      <c r="CS64" s="26">
        <v>0</v>
      </c>
      <c r="CT64" s="26">
        <v>0</v>
      </c>
      <c r="CU64" s="26">
        <v>0</v>
      </c>
      <c r="CV64" s="26">
        <v>9999</v>
      </c>
      <c r="CW64" s="30">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457</v>
      </c>
      <c r="B65" s="7" t="s">
        <v>457</v>
      </c>
      <c r="C65" s="26">
        <v>10</v>
      </c>
      <c r="D65" s="26">
        <v>445.05114309453501</v>
      </c>
      <c r="E65" s="26">
        <v>0</v>
      </c>
      <c r="F65" s="26">
        <v>24.056249999999999</v>
      </c>
      <c r="G65" s="26">
        <v>0</v>
      </c>
      <c r="H65" s="26">
        <v>9.1851463689407709</v>
      </c>
      <c r="I65" s="26" t="s">
        <v>153</v>
      </c>
      <c r="J65" s="26"/>
      <c r="K65" s="26"/>
      <c r="L65" s="26">
        <v>475.8558221289847</v>
      </c>
      <c r="M65" s="26">
        <v>1.2656936613806523E-3</v>
      </c>
      <c r="N65" s="26">
        <v>1.2565584521250009E-3</v>
      </c>
      <c r="O65" s="26">
        <v>0</v>
      </c>
      <c r="P65" s="26">
        <v>0</v>
      </c>
      <c r="Q65" s="26">
        <v>0</v>
      </c>
      <c r="R65" s="26">
        <v>4.7971376054678805</v>
      </c>
      <c r="S65" s="26">
        <v>11.085455365725288</v>
      </c>
      <c r="T65" s="26">
        <v>0</v>
      </c>
      <c r="U65" s="26">
        <v>28.832878767803244</v>
      </c>
      <c r="V65" s="26" t="s">
        <v>326</v>
      </c>
      <c r="W65" s="26" t="s">
        <v>326</v>
      </c>
      <c r="X65" s="26" t="s">
        <v>326</v>
      </c>
      <c r="Y65" s="26" t="s">
        <v>326</v>
      </c>
      <c r="Z65" s="26">
        <v>0</v>
      </c>
      <c r="AA65" s="26">
        <v>0</v>
      </c>
      <c r="AB65" s="26">
        <v>0</v>
      </c>
      <c r="AC65" s="26">
        <v>0</v>
      </c>
      <c r="AD65" s="26">
        <v>0</v>
      </c>
      <c r="AE65" s="26">
        <v>0</v>
      </c>
      <c r="AF65" s="26">
        <v>0</v>
      </c>
      <c r="AG65" s="26">
        <v>9.1851463689407709</v>
      </c>
      <c r="AH65" s="26">
        <v>4.7971376054678805</v>
      </c>
      <c r="AI65" s="26">
        <v>11.085455365725288</v>
      </c>
      <c r="AJ65" s="26">
        <v>0</v>
      </c>
      <c r="AK65" s="26">
        <v>38.018025136744015</v>
      </c>
      <c r="AL65" s="26">
        <v>53.900618107937184</v>
      </c>
      <c r="AM65" s="26">
        <v>228.87900093304467</v>
      </c>
      <c r="AN65" s="26">
        <v>0.44723093768392225</v>
      </c>
      <c r="AO65" s="26">
        <v>0</v>
      </c>
      <c r="AP65" s="26">
        <v>0</v>
      </c>
      <c r="AQ65" s="26">
        <v>229.32623187072858</v>
      </c>
      <c r="AR65" s="26">
        <v>4.7971376054678805</v>
      </c>
      <c r="AS65" s="30">
        <v>47.804805851167913</v>
      </c>
      <c r="AT65" s="26">
        <v>228.87900093304467</v>
      </c>
      <c r="AU65" s="26">
        <v>0.52938822251309259</v>
      </c>
      <c r="AV65" s="26">
        <v>0</v>
      </c>
      <c r="AW65" s="26">
        <v>0</v>
      </c>
      <c r="AX65" s="26">
        <v>229.40838915555776</v>
      </c>
      <c r="AY65" s="26">
        <v>11.085455365725288</v>
      </c>
      <c r="AZ65" s="30">
        <v>20.694539068269322</v>
      </c>
      <c r="BA65" s="26">
        <v>228.87900093304467</v>
      </c>
      <c r="BB65" s="26">
        <v>0.97661916019701489</v>
      </c>
      <c r="BC65" s="26">
        <v>0</v>
      </c>
      <c r="BD65" s="26">
        <v>0</v>
      </c>
      <c r="BE65" s="26">
        <v>229.85562009324167</v>
      </c>
      <c r="BF65" s="26">
        <v>15.882592971193169</v>
      </c>
      <c r="BG65" s="26">
        <v>2.3049158849389904</v>
      </c>
      <c r="BH65" s="30">
        <v>14.472172176806337</v>
      </c>
      <c r="BI65" s="26">
        <v>0.74178304680264129</v>
      </c>
      <c r="BJ65" s="26">
        <v>1.7141477965963778</v>
      </c>
      <c r="BK65" s="26">
        <v>0</v>
      </c>
      <c r="BL65" s="26">
        <v>5.8787403736780712</v>
      </c>
      <c r="BM65" s="26">
        <v>8.3346712170770907</v>
      </c>
      <c r="BN65" s="26">
        <v>228.87900093304467</v>
      </c>
      <c r="BO65" s="26">
        <v>0</v>
      </c>
      <c r="BP65" s="26">
        <v>0.97661916019701489</v>
      </c>
      <c r="BQ65" s="26">
        <v>0</v>
      </c>
      <c r="BR65" s="26">
        <v>0</v>
      </c>
      <c r="BS65" s="26">
        <v>0</v>
      </c>
      <c r="BT65" s="26">
        <v>0</v>
      </c>
      <c r="BU65" s="26">
        <v>0</v>
      </c>
      <c r="BV65" s="26">
        <v>0</v>
      </c>
      <c r="BW65" s="26">
        <v>0</v>
      </c>
      <c r="BX65" s="26">
        <v>44.715471738996413</v>
      </c>
      <c r="BY65" s="26"/>
      <c r="BZ65" s="26">
        <v>0</v>
      </c>
      <c r="CA65" s="26">
        <v>9.1851463689407709</v>
      </c>
      <c r="CB65" s="26">
        <v>229.85562009324167</v>
      </c>
      <c r="CC65" s="26">
        <v>53.900618107937184</v>
      </c>
      <c r="CD65" s="30">
        <v>4.2644338443939676</v>
      </c>
      <c r="CE65" s="26">
        <v>8.1836562586170647</v>
      </c>
      <c r="CF65" s="26">
        <v>4.520691420042799</v>
      </c>
      <c r="CG65" s="26">
        <v>0</v>
      </c>
      <c r="CH65" s="26">
        <v>4.520691420042799</v>
      </c>
      <c r="CI65" s="26">
        <v>0.22603151551126768</v>
      </c>
      <c r="CJ65" s="26">
        <v>0</v>
      </c>
      <c r="CK65" s="26">
        <v>0.22603151551126768</v>
      </c>
      <c r="CL65" s="26"/>
      <c r="CM65" s="26">
        <v>0</v>
      </c>
      <c r="CN65" s="26"/>
      <c r="CO65" s="26">
        <v>0</v>
      </c>
      <c r="CP65" s="26">
        <v>0</v>
      </c>
      <c r="CQ65" s="26">
        <v>0</v>
      </c>
      <c r="CR65" s="26">
        <v>0</v>
      </c>
      <c r="CS65" s="26">
        <v>0</v>
      </c>
      <c r="CT65" s="26">
        <v>0</v>
      </c>
      <c r="CU65" s="26">
        <v>0</v>
      </c>
      <c r="CV65" s="26">
        <v>9999</v>
      </c>
      <c r="CW65" s="30">
        <v>9999</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t="s">
        <v>467</v>
      </c>
      <c r="B66" s="7" t="s">
        <v>467</v>
      </c>
      <c r="C66" s="26">
        <v>10</v>
      </c>
      <c r="D66" s="26">
        <v>403.26183697404838</v>
      </c>
      <c r="E66" s="26">
        <v>0</v>
      </c>
      <c r="F66" s="26">
        <v>48.908368968785467</v>
      </c>
      <c r="G66" s="26">
        <v>4.8112499999999994</v>
      </c>
      <c r="H66" s="26">
        <v>0</v>
      </c>
      <c r="I66" s="26" t="s">
        <v>153</v>
      </c>
      <c r="J66" s="26"/>
      <c r="K66" s="26"/>
      <c r="L66" s="26">
        <v>431.17402560129892</v>
      </c>
      <c r="M66" s="26">
        <v>1.1468478597444107E-3</v>
      </c>
      <c r="N66" s="26">
        <v>1.1385704261893334E-3</v>
      </c>
      <c r="O66" s="26">
        <v>0</v>
      </c>
      <c r="P66" s="26">
        <v>0</v>
      </c>
      <c r="Q66" s="26">
        <v>0</v>
      </c>
      <c r="R66" s="26">
        <v>9.7529821149289333</v>
      </c>
      <c r="S66" s="26">
        <v>22.537658247394962</v>
      </c>
      <c r="T66" s="26">
        <v>0</v>
      </c>
      <c r="U66" s="26">
        <v>58.619654900825424</v>
      </c>
      <c r="V66" s="26" t="s">
        <v>326</v>
      </c>
      <c r="W66" s="26" t="s">
        <v>326</v>
      </c>
      <c r="X66" s="26" t="s">
        <v>326</v>
      </c>
      <c r="Y66" s="26" t="s">
        <v>326</v>
      </c>
      <c r="Z66" s="26">
        <v>0</v>
      </c>
      <c r="AA66" s="26">
        <v>0</v>
      </c>
      <c r="AB66" s="26">
        <v>0</v>
      </c>
      <c r="AC66" s="26">
        <v>65.386457627225766</v>
      </c>
      <c r="AD66" s="26">
        <v>0</v>
      </c>
      <c r="AE66" s="26">
        <v>0</v>
      </c>
      <c r="AF66" s="26">
        <v>0</v>
      </c>
      <c r="AG66" s="26">
        <v>0</v>
      </c>
      <c r="AH66" s="26">
        <v>9.7529821149289333</v>
      </c>
      <c r="AI66" s="26">
        <v>22.537658247394962</v>
      </c>
      <c r="AJ66" s="26">
        <v>0</v>
      </c>
      <c r="AK66" s="26">
        <v>124.00611252805119</v>
      </c>
      <c r="AL66" s="26">
        <v>156.2967528903751</v>
      </c>
      <c r="AM66" s="26">
        <v>207.38777507518779</v>
      </c>
      <c r="AN66" s="26">
        <v>0.40523695373081098</v>
      </c>
      <c r="AO66" s="26">
        <v>0</v>
      </c>
      <c r="AP66" s="26">
        <v>0</v>
      </c>
      <c r="AQ66" s="26">
        <v>207.79301202891861</v>
      </c>
      <c r="AR66" s="26">
        <v>9.7529821149289333</v>
      </c>
      <c r="AS66" s="30">
        <v>21.305587314760775</v>
      </c>
      <c r="AT66" s="26">
        <v>207.38777507518779</v>
      </c>
      <c r="AU66" s="26">
        <v>0.47967985341790148</v>
      </c>
      <c r="AV66" s="26">
        <v>0</v>
      </c>
      <c r="AW66" s="26">
        <v>0</v>
      </c>
      <c r="AX66" s="26">
        <v>207.8674549286057</v>
      </c>
      <c r="AY66" s="26">
        <v>22.537658247394962</v>
      </c>
      <c r="AZ66" s="30">
        <v>9.2231168228239628</v>
      </c>
      <c r="BA66" s="26">
        <v>207.38777507518779</v>
      </c>
      <c r="BB66" s="26">
        <v>0.88491680714871246</v>
      </c>
      <c r="BC66" s="26">
        <v>0</v>
      </c>
      <c r="BD66" s="26">
        <v>0</v>
      </c>
      <c r="BE66" s="26">
        <v>208.27269188233652</v>
      </c>
      <c r="BF66" s="26">
        <v>32.290640362323899</v>
      </c>
      <c r="BG66" s="26">
        <v>5.3595253246161114</v>
      </c>
      <c r="BH66" s="30">
        <v>6.4499399685286241</v>
      </c>
      <c r="BI66" s="26">
        <v>1.6643894398311392</v>
      </c>
      <c r="BJ66" s="26">
        <v>3.8461508432450038</v>
      </c>
      <c r="BK66" s="26">
        <v>0</v>
      </c>
      <c r="BL66" s="26">
        <v>21.162190367423253</v>
      </c>
      <c r="BM66" s="26">
        <v>26.6727306504994</v>
      </c>
      <c r="BN66" s="26">
        <v>207.38777507518779</v>
      </c>
      <c r="BO66" s="26">
        <v>0</v>
      </c>
      <c r="BP66" s="26">
        <v>0.88491680714871246</v>
      </c>
      <c r="BQ66" s="26">
        <v>0</v>
      </c>
      <c r="BR66" s="26">
        <v>0</v>
      </c>
      <c r="BS66" s="26">
        <v>0</v>
      </c>
      <c r="BT66" s="26">
        <v>0</v>
      </c>
      <c r="BU66" s="26">
        <v>0</v>
      </c>
      <c r="BV66" s="26">
        <v>0</v>
      </c>
      <c r="BW66" s="26">
        <v>0</v>
      </c>
      <c r="BX66" s="26">
        <v>90.910295263149322</v>
      </c>
      <c r="BY66" s="26"/>
      <c r="BZ66" s="26">
        <v>65.386457627225766</v>
      </c>
      <c r="CA66" s="26">
        <v>0</v>
      </c>
      <c r="CB66" s="26">
        <v>208.27269188233652</v>
      </c>
      <c r="CC66" s="26">
        <v>156.2967528903751</v>
      </c>
      <c r="CD66" s="30">
        <v>1.3325465054825343</v>
      </c>
      <c r="CE66" s="26">
        <v>26.521715692039368</v>
      </c>
      <c r="CF66" s="26">
        <v>4.0962086149547092</v>
      </c>
      <c r="CG66" s="26">
        <v>0</v>
      </c>
      <c r="CH66" s="26">
        <v>4.0962086149547092</v>
      </c>
      <c r="CI66" s="26">
        <v>0.20480766216061699</v>
      </c>
      <c r="CJ66" s="26">
        <v>0</v>
      </c>
      <c r="CK66" s="26">
        <v>0.20480766216061699</v>
      </c>
      <c r="CL66" s="26"/>
      <c r="CM66" s="26">
        <v>0</v>
      </c>
      <c r="CN66" s="26"/>
      <c r="CO66" s="26">
        <v>0</v>
      </c>
      <c r="CP66" s="26">
        <v>0</v>
      </c>
      <c r="CQ66" s="26">
        <v>0</v>
      </c>
      <c r="CR66" s="26">
        <v>0</v>
      </c>
      <c r="CS66" s="26">
        <v>0</v>
      </c>
      <c r="CT66" s="26">
        <v>0</v>
      </c>
      <c r="CU66" s="26">
        <v>0</v>
      </c>
      <c r="CV66" s="26">
        <v>9999</v>
      </c>
      <c r="CW66" s="30">
        <v>9999</v>
      </c>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t="s">
        <v>465</v>
      </c>
      <c r="B67" s="7" t="s">
        <v>465</v>
      </c>
      <c r="C67" s="26">
        <v>10</v>
      </c>
      <c r="D67" s="26">
        <v>403.26183697404838</v>
      </c>
      <c r="E67" s="26">
        <v>0</v>
      </c>
      <c r="F67" s="26">
        <v>18.340638363294548</v>
      </c>
      <c r="G67" s="26">
        <v>15.395999999999999</v>
      </c>
      <c r="H67" s="26">
        <v>0</v>
      </c>
      <c r="I67" s="26" t="s">
        <v>153</v>
      </c>
      <c r="J67" s="26"/>
      <c r="K67" s="26"/>
      <c r="L67" s="26">
        <v>431.17402560129892</v>
      </c>
      <c r="M67" s="26">
        <v>1.1468478597444107E-3</v>
      </c>
      <c r="N67" s="26">
        <v>1.1385704261893334E-3</v>
      </c>
      <c r="O67" s="26">
        <v>0</v>
      </c>
      <c r="P67" s="26">
        <v>0</v>
      </c>
      <c r="Q67" s="26">
        <v>0</v>
      </c>
      <c r="R67" s="26">
        <v>3.6573682930983491</v>
      </c>
      <c r="S67" s="26">
        <v>8.4516218427731111</v>
      </c>
      <c r="T67" s="26">
        <v>0</v>
      </c>
      <c r="U67" s="26">
        <v>21.982370587809534</v>
      </c>
      <c r="V67" s="26" t="s">
        <v>326</v>
      </c>
      <c r="W67" s="26" t="s">
        <v>326</v>
      </c>
      <c r="X67" s="26" t="s">
        <v>326</v>
      </c>
      <c r="Y67" s="26" t="s">
        <v>326</v>
      </c>
      <c r="Z67" s="26">
        <v>0</v>
      </c>
      <c r="AA67" s="26">
        <v>0</v>
      </c>
      <c r="AB67" s="26">
        <v>0</v>
      </c>
      <c r="AC67" s="26">
        <v>209.23666440712245</v>
      </c>
      <c r="AD67" s="26">
        <v>0</v>
      </c>
      <c r="AE67" s="26">
        <v>0</v>
      </c>
      <c r="AF67" s="26">
        <v>0</v>
      </c>
      <c r="AG67" s="26">
        <v>0</v>
      </c>
      <c r="AH67" s="26">
        <v>3.6573682930983491</v>
      </c>
      <c r="AI67" s="26">
        <v>8.4516218427731111</v>
      </c>
      <c r="AJ67" s="26">
        <v>0</v>
      </c>
      <c r="AK67" s="26">
        <v>231.21903499493197</v>
      </c>
      <c r="AL67" s="26">
        <v>243.32802513080344</v>
      </c>
      <c r="AM67" s="26">
        <v>207.38777507518779</v>
      </c>
      <c r="AN67" s="26">
        <v>0.40523695373081098</v>
      </c>
      <c r="AO67" s="26">
        <v>0</v>
      </c>
      <c r="AP67" s="26">
        <v>0</v>
      </c>
      <c r="AQ67" s="26">
        <v>207.79301202891861</v>
      </c>
      <c r="AR67" s="26">
        <v>3.6573682930983491</v>
      </c>
      <c r="AS67" s="30">
        <v>56.814899506028752</v>
      </c>
      <c r="AT67" s="26">
        <v>207.38777507518779</v>
      </c>
      <c r="AU67" s="26">
        <v>0.47967985341790148</v>
      </c>
      <c r="AV67" s="26">
        <v>0</v>
      </c>
      <c r="AW67" s="26">
        <v>0</v>
      </c>
      <c r="AX67" s="26">
        <v>207.8674549286057</v>
      </c>
      <c r="AY67" s="26">
        <v>8.4516218427731111</v>
      </c>
      <c r="AZ67" s="30">
        <v>24.594978194197232</v>
      </c>
      <c r="BA67" s="26">
        <v>207.38777507518779</v>
      </c>
      <c r="BB67" s="26">
        <v>0.88491680714871246</v>
      </c>
      <c r="BC67" s="26">
        <v>0</v>
      </c>
      <c r="BD67" s="26">
        <v>0</v>
      </c>
      <c r="BE67" s="26">
        <v>208.27269188233652</v>
      </c>
      <c r="BF67" s="26">
        <v>12.10899013587146</v>
      </c>
      <c r="BG67" s="26">
        <v>1.9154376476935222</v>
      </c>
      <c r="BH67" s="30">
        <v>17.199839916076332</v>
      </c>
      <c r="BI67" s="26">
        <v>0.62414603993667706</v>
      </c>
      <c r="BJ67" s="26">
        <v>1.4423065662168766</v>
      </c>
      <c r="BK67" s="26">
        <v>0</v>
      </c>
      <c r="BL67" s="26">
        <v>39.458548739101801</v>
      </c>
      <c r="BM67" s="26">
        <v>41.525001345255347</v>
      </c>
      <c r="BN67" s="26">
        <v>207.38777507518779</v>
      </c>
      <c r="BO67" s="26">
        <v>0</v>
      </c>
      <c r="BP67" s="26">
        <v>0.88491680714871246</v>
      </c>
      <c r="BQ67" s="26">
        <v>0</v>
      </c>
      <c r="BR67" s="26">
        <v>0</v>
      </c>
      <c r="BS67" s="26">
        <v>0</v>
      </c>
      <c r="BT67" s="26">
        <v>0</v>
      </c>
      <c r="BU67" s="26">
        <v>0</v>
      </c>
      <c r="BV67" s="26">
        <v>0</v>
      </c>
      <c r="BW67" s="26">
        <v>0</v>
      </c>
      <c r="BX67" s="26">
        <v>34.091360723680992</v>
      </c>
      <c r="BY67" s="26"/>
      <c r="BZ67" s="26">
        <v>209.23666440712245</v>
      </c>
      <c r="CA67" s="26">
        <v>0</v>
      </c>
      <c r="CB67" s="26">
        <v>208.27269188233652</v>
      </c>
      <c r="CC67" s="26">
        <v>243.32802513080344</v>
      </c>
      <c r="CD67" s="115">
        <v>0.85593384391451588</v>
      </c>
      <c r="CE67" s="26">
        <v>41.373986386795316</v>
      </c>
      <c r="CF67" s="26">
        <v>4.0962086149547092</v>
      </c>
      <c r="CG67" s="26">
        <v>0</v>
      </c>
      <c r="CH67" s="26">
        <v>4.0962086149547092</v>
      </c>
      <c r="CI67" s="26">
        <v>0.20480766216061699</v>
      </c>
      <c r="CJ67" s="26">
        <v>0</v>
      </c>
      <c r="CK67" s="26">
        <v>0.20480766216061699</v>
      </c>
      <c r="CL67" s="26"/>
      <c r="CM67" s="26">
        <v>0</v>
      </c>
      <c r="CN67" s="26"/>
      <c r="CO67" s="26">
        <v>0</v>
      </c>
      <c r="CP67" s="26">
        <v>0</v>
      </c>
      <c r="CQ67" s="26">
        <v>0</v>
      </c>
      <c r="CR67" s="26">
        <v>0</v>
      </c>
      <c r="CS67" s="26">
        <v>0</v>
      </c>
      <c r="CT67" s="26">
        <v>0</v>
      </c>
      <c r="CU67" s="26">
        <v>0</v>
      </c>
      <c r="CV67" s="26">
        <v>9999</v>
      </c>
      <c r="CW67" s="30">
        <v>9999</v>
      </c>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ht="13.5" thickBot="1">
      <c r="A70" s="24" t="s">
        <v>327</v>
      </c>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ht="26.25" thickBot="1">
      <c r="A71" s="108" t="s">
        <v>228</v>
      </c>
      <c r="B71" s="109"/>
      <c r="C71" s="110" t="s">
        <v>229</v>
      </c>
      <c r="D71" s="111"/>
      <c r="E71" s="111"/>
      <c r="F71" s="111"/>
      <c r="G71" s="111"/>
      <c r="H71" s="111"/>
      <c r="I71" s="111"/>
      <c r="J71" s="111"/>
      <c r="K71" s="112"/>
      <c r="L71" s="110" t="s">
        <v>230</v>
      </c>
      <c r="M71" s="111"/>
      <c r="N71" s="111"/>
      <c r="O71" s="111"/>
      <c r="P71" s="111"/>
      <c r="Q71" s="112"/>
      <c r="R71" s="110" t="s">
        <v>231</v>
      </c>
      <c r="S71" s="111"/>
      <c r="T71" s="111"/>
      <c r="U71" s="112"/>
      <c r="V71" s="110" t="s">
        <v>232</v>
      </c>
      <c r="W71" s="111"/>
      <c r="X71" s="111"/>
      <c r="Y71" s="112"/>
      <c r="Z71" s="110" t="s">
        <v>233</v>
      </c>
      <c r="AA71" s="111"/>
      <c r="AB71" s="111"/>
      <c r="AC71" s="112"/>
      <c r="AD71" s="110" t="s">
        <v>234</v>
      </c>
      <c r="AE71" s="111"/>
      <c r="AF71" s="111"/>
      <c r="AG71" s="112"/>
      <c r="AH71" s="110" t="s">
        <v>235</v>
      </c>
      <c r="AI71" s="111"/>
      <c r="AJ71" s="111"/>
      <c r="AK71" s="111"/>
      <c r="AL71" s="112"/>
      <c r="AM71" s="110" t="s">
        <v>236</v>
      </c>
      <c r="AN71" s="111"/>
      <c r="AO71" s="111"/>
      <c r="AP71" s="111"/>
      <c r="AQ71" s="111"/>
      <c r="AR71" s="111"/>
      <c r="AS71" s="112"/>
      <c r="AT71" s="110" t="s">
        <v>237</v>
      </c>
      <c r="AU71" s="111"/>
      <c r="AV71" s="111"/>
      <c r="AW71" s="111"/>
      <c r="AX71" s="111"/>
      <c r="AY71" s="111"/>
      <c r="AZ71" s="112"/>
      <c r="BA71" s="110" t="s">
        <v>238</v>
      </c>
      <c r="BB71" s="111"/>
      <c r="BC71" s="111"/>
      <c r="BD71" s="111"/>
      <c r="BE71" s="111"/>
      <c r="BF71" s="112"/>
      <c r="BG71" s="110" t="s">
        <v>239</v>
      </c>
      <c r="BH71" s="112"/>
      <c r="BI71" s="110" t="s">
        <v>240</v>
      </c>
      <c r="BJ71" s="111"/>
      <c r="BK71" s="111"/>
      <c r="BL71" s="111"/>
      <c r="BM71" s="112"/>
      <c r="BN71" s="110" t="s">
        <v>241</v>
      </c>
      <c r="BO71" s="111"/>
      <c r="BP71" s="111"/>
      <c r="BQ71" s="111"/>
      <c r="BR71" s="111"/>
      <c r="BS71" s="111"/>
      <c r="BT71" s="111"/>
      <c r="BU71" s="111"/>
      <c r="BV71" s="111"/>
      <c r="BW71" s="111"/>
      <c r="BX71" s="111"/>
      <c r="BY71" s="111"/>
      <c r="BZ71" s="111"/>
      <c r="CA71" s="111"/>
      <c r="CB71" s="111"/>
      <c r="CC71" s="112"/>
      <c r="CD71" s="110" t="s">
        <v>242</v>
      </c>
      <c r="CE71" s="112"/>
      <c r="CF71" s="110" t="s">
        <v>243</v>
      </c>
      <c r="CG71" s="111"/>
      <c r="CH71" s="111"/>
      <c r="CI71" s="111"/>
      <c r="CJ71" s="111"/>
      <c r="CK71" s="112"/>
      <c r="CL71" s="113"/>
      <c r="CM71" s="110" t="s">
        <v>5</v>
      </c>
      <c r="CN71" s="111"/>
      <c r="CO71" s="111"/>
      <c r="CP71" s="112"/>
      <c r="CQ71" s="110" t="s">
        <v>244</v>
      </c>
      <c r="CR71" s="111"/>
      <c r="CS71" s="111"/>
      <c r="CT71" s="111"/>
      <c r="CU71" s="112"/>
      <c r="CV71" s="110" t="s">
        <v>245</v>
      </c>
      <c r="CW71" s="112"/>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ht="216.75">
      <c r="A72" s="27" t="s">
        <v>246</v>
      </c>
      <c r="B72" s="28" t="s">
        <v>247</v>
      </c>
      <c r="C72" s="29" t="s">
        <v>118</v>
      </c>
      <c r="D72" s="29" t="s">
        <v>248</v>
      </c>
      <c r="E72" s="29" t="s">
        <v>249</v>
      </c>
      <c r="F72" s="29" t="s">
        <v>250</v>
      </c>
      <c r="G72" s="29" t="s">
        <v>251</v>
      </c>
      <c r="H72" s="29" t="s">
        <v>252</v>
      </c>
      <c r="I72" s="29" t="s">
        <v>253</v>
      </c>
      <c r="J72" s="29" t="s">
        <v>254</v>
      </c>
      <c r="K72" s="29" t="s">
        <v>255</v>
      </c>
      <c r="L72" s="29" t="s">
        <v>256</v>
      </c>
      <c r="M72" s="29" t="s">
        <v>257</v>
      </c>
      <c r="N72" s="29" t="s">
        <v>258</v>
      </c>
      <c r="O72" s="29" t="s">
        <v>259</v>
      </c>
      <c r="P72" s="29" t="s">
        <v>260</v>
      </c>
      <c r="Q72" s="29" t="s">
        <v>261</v>
      </c>
      <c r="R72" s="29" t="s">
        <v>262</v>
      </c>
      <c r="S72" s="29" t="s">
        <v>263</v>
      </c>
      <c r="T72" s="29" t="s">
        <v>264</v>
      </c>
      <c r="U72" s="29" t="s">
        <v>168</v>
      </c>
      <c r="V72" s="29" t="s">
        <v>262</v>
      </c>
      <c r="W72" s="29" t="s">
        <v>263</v>
      </c>
      <c r="X72" s="29" t="s">
        <v>264</v>
      </c>
      <c r="Y72" s="29" t="s">
        <v>168</v>
      </c>
      <c r="Z72" s="29" t="s">
        <v>262</v>
      </c>
      <c r="AA72" s="29" t="s">
        <v>263</v>
      </c>
      <c r="AB72" s="29" t="s">
        <v>264</v>
      </c>
      <c r="AC72" s="29" t="s">
        <v>168</v>
      </c>
      <c r="AD72" s="29" t="s">
        <v>262</v>
      </c>
      <c r="AE72" s="29" t="s">
        <v>263</v>
      </c>
      <c r="AF72" s="29" t="s">
        <v>264</v>
      </c>
      <c r="AG72" s="29" t="s">
        <v>168</v>
      </c>
      <c r="AH72" s="29" t="s">
        <v>262</v>
      </c>
      <c r="AI72" s="29" t="s">
        <v>263</v>
      </c>
      <c r="AJ72" s="29" t="s">
        <v>264</v>
      </c>
      <c r="AK72" s="29" t="s">
        <v>168</v>
      </c>
      <c r="AL72" s="29" t="s">
        <v>129</v>
      </c>
      <c r="AM72" s="29" t="s">
        <v>265</v>
      </c>
      <c r="AN72" s="29" t="s">
        <v>266</v>
      </c>
      <c r="AO72" s="29" t="s">
        <v>267</v>
      </c>
      <c r="AP72" s="29" t="s">
        <v>268</v>
      </c>
      <c r="AQ72" s="29" t="s">
        <v>269</v>
      </c>
      <c r="AR72" s="29" t="s">
        <v>270</v>
      </c>
      <c r="AS72" s="29" t="s">
        <v>271</v>
      </c>
      <c r="AT72" s="29" t="s">
        <v>272</v>
      </c>
      <c r="AU72" s="29" t="s">
        <v>273</v>
      </c>
      <c r="AV72" s="29" t="s">
        <v>274</v>
      </c>
      <c r="AW72" s="29" t="s">
        <v>275</v>
      </c>
      <c r="AX72" s="29" t="s">
        <v>276</v>
      </c>
      <c r="AY72" s="29" t="s">
        <v>277</v>
      </c>
      <c r="AZ72" s="29" t="s">
        <v>278</v>
      </c>
      <c r="BA72" s="29" t="s">
        <v>279</v>
      </c>
      <c r="BB72" s="29" t="s">
        <v>280</v>
      </c>
      <c r="BC72" s="29" t="s">
        <v>281</v>
      </c>
      <c r="BD72" s="29" t="s">
        <v>282</v>
      </c>
      <c r="BE72" s="29" t="s">
        <v>283</v>
      </c>
      <c r="BF72" s="29" t="s">
        <v>284</v>
      </c>
      <c r="BG72" s="29" t="s">
        <v>285</v>
      </c>
      <c r="BH72" s="29" t="s">
        <v>286</v>
      </c>
      <c r="BI72" s="29" t="s">
        <v>287</v>
      </c>
      <c r="BJ72" s="29" t="s">
        <v>288</v>
      </c>
      <c r="BK72" s="29" t="s">
        <v>289</v>
      </c>
      <c r="BL72" s="29" t="s">
        <v>290</v>
      </c>
      <c r="BM72" s="29" t="s">
        <v>291</v>
      </c>
      <c r="BN72" s="29" t="s">
        <v>292</v>
      </c>
      <c r="BO72" s="29" t="s">
        <v>293</v>
      </c>
      <c r="BP72" s="29" t="s">
        <v>294</v>
      </c>
      <c r="BQ72" s="29" t="s">
        <v>295</v>
      </c>
      <c r="BR72" s="29" t="s">
        <v>296</v>
      </c>
      <c r="BS72" s="29" t="s">
        <v>297</v>
      </c>
      <c r="BT72" s="29" t="s">
        <v>298</v>
      </c>
      <c r="BU72" s="29" t="s">
        <v>299</v>
      </c>
      <c r="BV72" s="29" t="s">
        <v>300</v>
      </c>
      <c r="BW72" s="29" t="s">
        <v>301</v>
      </c>
      <c r="BX72" s="29" t="s">
        <v>302</v>
      </c>
      <c r="BY72" s="29" t="s">
        <v>303</v>
      </c>
      <c r="BZ72" s="29" t="s">
        <v>304</v>
      </c>
      <c r="CA72" s="29" t="s">
        <v>305</v>
      </c>
      <c r="CB72" s="29" t="s">
        <v>306</v>
      </c>
      <c r="CC72" s="29" t="s">
        <v>307</v>
      </c>
      <c r="CD72" s="29" t="s">
        <v>308</v>
      </c>
      <c r="CE72" s="29" t="s">
        <v>21</v>
      </c>
      <c r="CF72" s="29" t="s">
        <v>309</v>
      </c>
      <c r="CG72" s="29" t="s">
        <v>310</v>
      </c>
      <c r="CH72" s="29" t="s">
        <v>311</v>
      </c>
      <c r="CI72" s="29" t="s">
        <v>312</v>
      </c>
      <c r="CJ72" s="29" t="s">
        <v>313</v>
      </c>
      <c r="CK72" s="29" t="s">
        <v>314</v>
      </c>
      <c r="CL72" s="29"/>
      <c r="CM72" s="29" t="s">
        <v>315</v>
      </c>
      <c r="CN72" s="29" t="s">
        <v>316</v>
      </c>
      <c r="CO72" s="29" t="s">
        <v>317</v>
      </c>
      <c r="CP72" s="29" t="s">
        <v>318</v>
      </c>
      <c r="CQ72" s="29" t="s">
        <v>319</v>
      </c>
      <c r="CR72" s="29" t="s">
        <v>320</v>
      </c>
      <c r="CS72" s="29" t="s">
        <v>321</v>
      </c>
      <c r="CT72" s="29" t="s">
        <v>322</v>
      </c>
      <c r="CU72" s="29" t="s">
        <v>323</v>
      </c>
      <c r="CV72" s="29" t="s">
        <v>324</v>
      </c>
      <c r="CW72" s="29" t="s">
        <v>325</v>
      </c>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t="s">
        <v>457</v>
      </c>
      <c r="B73" s="7"/>
      <c r="C73" s="26">
        <v>10</v>
      </c>
      <c r="D73" s="26">
        <v>445.05114309453501</v>
      </c>
      <c r="E73" s="26">
        <v>0</v>
      </c>
      <c r="F73" s="26">
        <v>24.056249999999999</v>
      </c>
      <c r="G73" s="26">
        <v>0</v>
      </c>
      <c r="H73" s="26">
        <v>9.1851463689407709</v>
      </c>
      <c r="I73" s="26"/>
      <c r="J73" s="26"/>
      <c r="K73" s="26"/>
      <c r="L73" s="26">
        <v>475.8558221289847</v>
      </c>
      <c r="M73" s="26">
        <v>1.2656936613806523E-3</v>
      </c>
      <c r="N73" s="26">
        <v>1.2565584521250009E-3</v>
      </c>
      <c r="O73" s="26">
        <v>0</v>
      </c>
      <c r="P73" s="26">
        <v>0</v>
      </c>
      <c r="Q73" s="26">
        <v>0</v>
      </c>
      <c r="R73" s="26">
        <v>4.7971376054678805</v>
      </c>
      <c r="S73" s="26">
        <v>11.085455365725288</v>
      </c>
      <c r="T73" s="26">
        <v>0</v>
      </c>
      <c r="U73" s="26">
        <v>28.832878767803244</v>
      </c>
      <c r="V73" s="26">
        <v>1.4433749999999999</v>
      </c>
      <c r="W73" s="26">
        <v>3.3678749999999997</v>
      </c>
      <c r="X73" s="26">
        <v>0</v>
      </c>
      <c r="Y73" s="26">
        <v>0</v>
      </c>
      <c r="Z73" s="26">
        <v>0</v>
      </c>
      <c r="AA73" s="26">
        <v>0</v>
      </c>
      <c r="AB73" s="26">
        <v>0</v>
      </c>
      <c r="AC73" s="26">
        <v>0</v>
      </c>
      <c r="AD73" s="26">
        <v>0</v>
      </c>
      <c r="AE73" s="26">
        <v>0</v>
      </c>
      <c r="AF73" s="26">
        <v>0</v>
      </c>
      <c r="AG73" s="26">
        <v>9.1851463689407709</v>
      </c>
      <c r="AH73" s="26">
        <v>6.2405126054678801</v>
      </c>
      <c r="AI73" s="26">
        <v>14.453330365725288</v>
      </c>
      <c r="AJ73" s="26">
        <v>0</v>
      </c>
      <c r="AK73" s="26">
        <v>38.018025136744015</v>
      </c>
      <c r="AL73" s="26">
        <v>58.711868107937185</v>
      </c>
      <c r="AM73" s="26">
        <v>228.87900093304467</v>
      </c>
      <c r="AN73" s="26">
        <v>0.44723093768392225</v>
      </c>
      <c r="AO73" s="26">
        <v>0</v>
      </c>
      <c r="AP73" s="26">
        <v>0</v>
      </c>
      <c r="AQ73" s="26">
        <v>229.32623187072858</v>
      </c>
      <c r="AR73" s="26">
        <v>6.2405126054678801</v>
      </c>
      <c r="AS73" s="30">
        <v>36.747979912707017</v>
      </c>
      <c r="AT73" s="26">
        <v>228.87900093304467</v>
      </c>
      <c r="AU73" s="26">
        <v>0.52938822251309259</v>
      </c>
      <c r="AV73" s="26">
        <v>0</v>
      </c>
      <c r="AW73" s="26">
        <v>0</v>
      </c>
      <c r="AX73" s="26">
        <v>229.40838915555776</v>
      </c>
      <c r="AY73" s="26">
        <v>14.453330365725288</v>
      </c>
      <c r="AZ73" s="30">
        <v>15.872354907183064</v>
      </c>
      <c r="BA73" s="26">
        <v>228.87900093304467</v>
      </c>
      <c r="BB73" s="26">
        <v>0.97661916019701489</v>
      </c>
      <c r="BC73" s="26">
        <v>0</v>
      </c>
      <c r="BD73" s="26">
        <v>0</v>
      </c>
      <c r="BE73" s="26">
        <v>229.85562009324167</v>
      </c>
      <c r="BF73" s="26">
        <v>20.69384297119317</v>
      </c>
      <c r="BG73" s="26">
        <v>3.0488811361882551</v>
      </c>
      <c r="BH73" s="30">
        <v>11.107440044520093</v>
      </c>
      <c r="BI73" s="26">
        <v>0.96497262217742064</v>
      </c>
      <c r="BJ73" s="26">
        <v>2.2349234724708631</v>
      </c>
      <c r="BK73" s="26">
        <v>0</v>
      </c>
      <c r="BL73" s="26">
        <v>5.8787403736780712</v>
      </c>
      <c r="BM73" s="26">
        <v>9.078636468326355</v>
      </c>
      <c r="BN73" s="26">
        <v>228.87900093304467</v>
      </c>
      <c r="BO73" s="26">
        <v>0</v>
      </c>
      <c r="BP73" s="26">
        <v>0.97661916019701489</v>
      </c>
      <c r="BQ73" s="26">
        <v>0</v>
      </c>
      <c r="BR73" s="26">
        <v>0</v>
      </c>
      <c r="BS73" s="26">
        <v>0</v>
      </c>
      <c r="BT73" s="26">
        <v>0</v>
      </c>
      <c r="BU73" s="26">
        <v>0</v>
      </c>
      <c r="BV73" s="26">
        <v>0</v>
      </c>
      <c r="BW73" s="26">
        <v>0</v>
      </c>
      <c r="BX73" s="26">
        <v>44.715471738996413</v>
      </c>
      <c r="BY73" s="26">
        <v>4.8112500000000002</v>
      </c>
      <c r="BZ73" s="26">
        <v>0</v>
      </c>
      <c r="CA73" s="26">
        <v>9.1851463689407709</v>
      </c>
      <c r="CB73" s="26">
        <v>229.85562009324167</v>
      </c>
      <c r="CC73" s="26">
        <v>58.711868107937185</v>
      </c>
      <c r="CD73" s="30">
        <v>3.9149771162223974</v>
      </c>
      <c r="CE73" s="26">
        <v>8.927621509866329</v>
      </c>
      <c r="CF73" s="26">
        <v>4.520691420042799</v>
      </c>
      <c r="CG73" s="26">
        <v>0</v>
      </c>
      <c r="CH73" s="26">
        <v>4.520691420042799</v>
      </c>
      <c r="CI73" s="26">
        <v>0.22603151551126768</v>
      </c>
      <c r="CJ73" s="26">
        <v>0</v>
      </c>
      <c r="CK73" s="26">
        <v>0.22603151551126768</v>
      </c>
      <c r="CL73" s="26"/>
      <c r="CM73" s="26">
        <v>0</v>
      </c>
      <c r="CN73" s="26"/>
      <c r="CO73" s="26">
        <v>0</v>
      </c>
      <c r="CP73" s="26">
        <v>0</v>
      </c>
      <c r="CQ73" s="26">
        <v>0</v>
      </c>
      <c r="CR73" s="26">
        <v>0</v>
      </c>
      <c r="CS73" s="26">
        <v>0</v>
      </c>
      <c r="CT73" s="26">
        <v>0</v>
      </c>
      <c r="CU73" s="26">
        <v>0</v>
      </c>
      <c r="CV73" s="26">
        <v>9999</v>
      </c>
      <c r="CW73" s="30">
        <v>9999</v>
      </c>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t="s">
        <v>461</v>
      </c>
      <c r="B74" s="7"/>
      <c r="C74" s="26">
        <v>10</v>
      </c>
      <c r="D74" s="26">
        <v>677.76274432530477</v>
      </c>
      <c r="E74" s="26">
        <v>0</v>
      </c>
      <c r="F74" s="26">
        <v>64.150000000000006</v>
      </c>
      <c r="G74" s="26">
        <v>0</v>
      </c>
      <c r="H74" s="26">
        <v>0</v>
      </c>
      <c r="I74" s="26"/>
      <c r="J74" s="26"/>
      <c r="K74" s="26"/>
      <c r="L74" s="26">
        <v>724.6747995450213</v>
      </c>
      <c r="M74" s="26">
        <v>1.9275088329124388E-3</v>
      </c>
      <c r="N74" s="26">
        <v>1.9135969385354345E-3</v>
      </c>
      <c r="O74" s="26">
        <v>0</v>
      </c>
      <c r="P74" s="26">
        <v>0</v>
      </c>
      <c r="Q74" s="26">
        <v>0</v>
      </c>
      <c r="R74" s="26">
        <v>12.792366947914351</v>
      </c>
      <c r="S74" s="26">
        <v>29.561214308600775</v>
      </c>
      <c r="T74" s="26">
        <v>0</v>
      </c>
      <c r="U74" s="26">
        <v>76.887676714142003</v>
      </c>
      <c r="V74" s="26">
        <v>3.8490000000000002</v>
      </c>
      <c r="W74" s="26">
        <v>8.9809999999999999</v>
      </c>
      <c r="X74" s="26">
        <v>0</v>
      </c>
      <c r="Y74" s="26">
        <v>0</v>
      </c>
      <c r="Z74" s="26">
        <v>0</v>
      </c>
      <c r="AA74" s="26">
        <v>0</v>
      </c>
      <c r="AB74" s="26">
        <v>0</v>
      </c>
      <c r="AC74" s="26">
        <v>0</v>
      </c>
      <c r="AD74" s="26">
        <v>0</v>
      </c>
      <c r="AE74" s="26">
        <v>0</v>
      </c>
      <c r="AF74" s="26">
        <v>0</v>
      </c>
      <c r="AG74" s="26">
        <v>0</v>
      </c>
      <c r="AH74" s="26">
        <v>16.641366947914349</v>
      </c>
      <c r="AI74" s="26">
        <v>38.542214308600776</v>
      </c>
      <c r="AJ74" s="26">
        <v>0</v>
      </c>
      <c r="AK74" s="26">
        <v>76.887676714142003</v>
      </c>
      <c r="AL74" s="26">
        <v>132.07125797065714</v>
      </c>
      <c r="AM74" s="26">
        <v>348.55692923782379</v>
      </c>
      <c r="AN74" s="26">
        <v>0.68108232587428352</v>
      </c>
      <c r="AO74" s="26">
        <v>0</v>
      </c>
      <c r="AP74" s="26">
        <v>0</v>
      </c>
      <c r="AQ74" s="26">
        <v>349.23801156369808</v>
      </c>
      <c r="AR74" s="26">
        <v>16.641366947914349</v>
      </c>
      <c r="AS74" s="30">
        <v>20.986137296099216</v>
      </c>
      <c r="AT74" s="26">
        <v>348.55692923782379</v>
      </c>
      <c r="AU74" s="26">
        <v>0.80619861351025646</v>
      </c>
      <c r="AV74" s="26">
        <v>0</v>
      </c>
      <c r="AW74" s="26">
        <v>0</v>
      </c>
      <c r="AX74" s="26">
        <v>349.36312785133407</v>
      </c>
      <c r="AY74" s="26">
        <v>38.542214308600776</v>
      </c>
      <c r="AZ74" s="30">
        <v>9.064428033481537</v>
      </c>
      <c r="BA74" s="26">
        <v>348.55692923782379</v>
      </c>
      <c r="BB74" s="26">
        <v>1.4872809393845401</v>
      </c>
      <c r="BC74" s="26">
        <v>0</v>
      </c>
      <c r="BD74" s="26">
        <v>0</v>
      </c>
      <c r="BE74" s="26">
        <v>350.04421017720836</v>
      </c>
      <c r="BF74" s="26">
        <v>55.183581256515126</v>
      </c>
      <c r="BG74" s="26">
        <v>5.4521942338643594</v>
      </c>
      <c r="BH74" s="30">
        <v>6.3432673669739614</v>
      </c>
      <c r="BI74" s="26">
        <v>1.6897246994890931</v>
      </c>
      <c r="BJ74" s="26">
        <v>3.9134844928352974</v>
      </c>
      <c r="BK74" s="26">
        <v>0</v>
      </c>
      <c r="BL74" s="26">
        <v>7.8069912668142187</v>
      </c>
      <c r="BM74" s="26">
        <v>13.410200459138611</v>
      </c>
      <c r="BN74" s="26">
        <v>348.55692923782379</v>
      </c>
      <c r="BO74" s="26">
        <v>0</v>
      </c>
      <c r="BP74" s="26">
        <v>1.4872809393845401</v>
      </c>
      <c r="BQ74" s="26">
        <v>0</v>
      </c>
      <c r="BR74" s="26">
        <v>0</v>
      </c>
      <c r="BS74" s="26">
        <v>0</v>
      </c>
      <c r="BT74" s="26">
        <v>0</v>
      </c>
      <c r="BU74" s="26">
        <v>0</v>
      </c>
      <c r="BV74" s="26">
        <v>0</v>
      </c>
      <c r="BW74" s="26">
        <v>0</v>
      </c>
      <c r="BX74" s="26">
        <v>119.24125797065713</v>
      </c>
      <c r="BY74" s="26">
        <v>12.830000000000002</v>
      </c>
      <c r="BZ74" s="26">
        <v>0</v>
      </c>
      <c r="CA74" s="26">
        <v>0</v>
      </c>
      <c r="CB74" s="26">
        <v>350.04421017720836</v>
      </c>
      <c r="CC74" s="26">
        <v>132.07125797065714</v>
      </c>
      <c r="CD74" s="30">
        <v>2.6504192930075612</v>
      </c>
      <c r="CE74" s="26">
        <v>13.25918550067858</v>
      </c>
      <c r="CF74" s="26">
        <v>6.88450365904405</v>
      </c>
      <c r="CG74" s="26">
        <v>0</v>
      </c>
      <c r="CH74" s="26">
        <v>6.88450365904405</v>
      </c>
      <c r="CI74" s="26">
        <v>0.34422052978388512</v>
      </c>
      <c r="CJ74" s="26">
        <v>0</v>
      </c>
      <c r="CK74" s="26">
        <v>0.34422052978388512</v>
      </c>
      <c r="CL74" s="26"/>
      <c r="CM74" s="26">
        <v>0</v>
      </c>
      <c r="CN74" s="26"/>
      <c r="CO74" s="26">
        <v>0</v>
      </c>
      <c r="CP74" s="26">
        <v>0</v>
      </c>
      <c r="CQ74" s="26">
        <v>0</v>
      </c>
      <c r="CR74" s="26">
        <v>0</v>
      </c>
      <c r="CS74" s="26">
        <v>0</v>
      </c>
      <c r="CT74" s="26">
        <v>0</v>
      </c>
      <c r="CU74" s="26">
        <v>0</v>
      </c>
      <c r="CV74" s="26">
        <v>9999</v>
      </c>
      <c r="CW74" s="30">
        <v>9999</v>
      </c>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t="s">
        <v>458</v>
      </c>
      <c r="B75" s="7"/>
      <c r="C75" s="26">
        <v>10</v>
      </c>
      <c r="D75" s="26">
        <v>269.17982618554754</v>
      </c>
      <c r="E75" s="26">
        <v>0</v>
      </c>
      <c r="F75" s="26">
        <v>24.056249999999999</v>
      </c>
      <c r="G75" s="26">
        <v>0</v>
      </c>
      <c r="H75" s="26">
        <v>5.9720856774060174</v>
      </c>
      <c r="I75" s="26"/>
      <c r="J75" s="26"/>
      <c r="K75" s="26"/>
      <c r="L75" s="26">
        <v>287.81138859551851</v>
      </c>
      <c r="M75" s="26">
        <v>7.6552819841252276E-4</v>
      </c>
      <c r="N75" s="26">
        <v>7.6000295917258561E-4</v>
      </c>
      <c r="O75" s="26">
        <v>0</v>
      </c>
      <c r="P75" s="26">
        <v>0</v>
      </c>
      <c r="Q75" s="26">
        <v>0</v>
      </c>
      <c r="R75" s="26">
        <v>4.7971376054678805</v>
      </c>
      <c r="S75" s="26">
        <v>11.085455365725288</v>
      </c>
      <c r="T75" s="26">
        <v>0</v>
      </c>
      <c r="U75" s="26">
        <v>28.832878767803244</v>
      </c>
      <c r="V75" s="26">
        <v>1.4433749999999999</v>
      </c>
      <c r="W75" s="26">
        <v>3.3678749999999997</v>
      </c>
      <c r="X75" s="26">
        <v>0</v>
      </c>
      <c r="Y75" s="26">
        <v>0</v>
      </c>
      <c r="Z75" s="26">
        <v>0</v>
      </c>
      <c r="AA75" s="26">
        <v>0</v>
      </c>
      <c r="AB75" s="26">
        <v>0</v>
      </c>
      <c r="AC75" s="26">
        <v>0</v>
      </c>
      <c r="AD75" s="26">
        <v>0</v>
      </c>
      <c r="AE75" s="26">
        <v>0</v>
      </c>
      <c r="AF75" s="26">
        <v>0</v>
      </c>
      <c r="AG75" s="26">
        <v>5.9720856774060174</v>
      </c>
      <c r="AH75" s="26">
        <v>6.2405126054678801</v>
      </c>
      <c r="AI75" s="26">
        <v>14.453330365725288</v>
      </c>
      <c r="AJ75" s="26">
        <v>0</v>
      </c>
      <c r="AK75" s="26">
        <v>34.804964445209265</v>
      </c>
      <c r="AL75" s="26">
        <v>55.498807416402428</v>
      </c>
      <c r="AM75" s="26">
        <v>138.43265126855766</v>
      </c>
      <c r="AN75" s="26">
        <v>0.2704982291102353</v>
      </c>
      <c r="AO75" s="26">
        <v>0</v>
      </c>
      <c r="AP75" s="26">
        <v>0</v>
      </c>
      <c r="AQ75" s="26">
        <v>138.70314949766791</v>
      </c>
      <c r="AR75" s="26">
        <v>6.2405126054678801</v>
      </c>
      <c r="AS75" s="30">
        <v>22.226242981407886</v>
      </c>
      <c r="AT75" s="26">
        <v>138.43265126855766</v>
      </c>
      <c r="AU75" s="26">
        <v>0.3201893353871943</v>
      </c>
      <c r="AV75" s="26">
        <v>0</v>
      </c>
      <c r="AW75" s="26">
        <v>0</v>
      </c>
      <c r="AX75" s="26">
        <v>138.75284060394486</v>
      </c>
      <c r="AY75" s="26">
        <v>14.453330365725288</v>
      </c>
      <c r="AZ75" s="30">
        <v>9.600060130984355</v>
      </c>
      <c r="BA75" s="26">
        <v>138.43265126855766</v>
      </c>
      <c r="BB75" s="26">
        <v>0.59068756449742965</v>
      </c>
      <c r="BC75" s="26">
        <v>0</v>
      </c>
      <c r="BD75" s="26">
        <v>0</v>
      </c>
      <c r="BE75" s="26">
        <v>139.02333883305511</v>
      </c>
      <c r="BF75" s="26">
        <v>20.69384297119317</v>
      </c>
      <c r="BG75" s="26">
        <v>5.1395650782671716</v>
      </c>
      <c r="BH75" s="30">
        <v>6.7181015641503761</v>
      </c>
      <c r="BI75" s="26">
        <v>1.5954470832407797</v>
      </c>
      <c r="BJ75" s="26">
        <v>3.6951329534864263</v>
      </c>
      <c r="BK75" s="26">
        <v>0</v>
      </c>
      <c r="BL75" s="26">
        <v>8.8982239948932609</v>
      </c>
      <c r="BM75" s="26">
        <v>14.188804031620467</v>
      </c>
      <c r="BN75" s="26">
        <v>138.43265126855766</v>
      </c>
      <c r="BO75" s="26">
        <v>0</v>
      </c>
      <c r="BP75" s="26">
        <v>0.59068756449742965</v>
      </c>
      <c r="BQ75" s="26">
        <v>0</v>
      </c>
      <c r="BR75" s="26">
        <v>0</v>
      </c>
      <c r="BS75" s="26">
        <v>0</v>
      </c>
      <c r="BT75" s="26">
        <v>0</v>
      </c>
      <c r="BU75" s="26">
        <v>0</v>
      </c>
      <c r="BV75" s="26">
        <v>0</v>
      </c>
      <c r="BW75" s="26">
        <v>0</v>
      </c>
      <c r="BX75" s="26">
        <v>44.715471738996413</v>
      </c>
      <c r="BY75" s="26">
        <v>4.8112500000000002</v>
      </c>
      <c r="BZ75" s="26">
        <v>0</v>
      </c>
      <c r="CA75" s="26">
        <v>5.9720856774060174</v>
      </c>
      <c r="CB75" s="26">
        <v>139.02333883305511</v>
      </c>
      <c r="CC75" s="26">
        <v>55.498807416402428</v>
      </c>
      <c r="CD75" s="30">
        <v>2.5049788509863973</v>
      </c>
      <c r="CE75" s="26">
        <v>14.037789073160434</v>
      </c>
      <c r="CF75" s="26">
        <v>2.7342451526455993</v>
      </c>
      <c r="CG75" s="26">
        <v>0</v>
      </c>
      <c r="CH75" s="26">
        <v>2.7342451526455993</v>
      </c>
      <c r="CI75" s="26">
        <v>0.13671040958287126</v>
      </c>
      <c r="CJ75" s="26">
        <v>0</v>
      </c>
      <c r="CK75" s="26">
        <v>0.13671040958287126</v>
      </c>
      <c r="CL75" s="26"/>
      <c r="CM75" s="26">
        <v>0</v>
      </c>
      <c r="CN75" s="26"/>
      <c r="CO75" s="26">
        <v>0</v>
      </c>
      <c r="CP75" s="26">
        <v>0</v>
      </c>
      <c r="CQ75" s="26">
        <v>0</v>
      </c>
      <c r="CR75" s="26">
        <v>0</v>
      </c>
      <c r="CS75" s="26">
        <v>0</v>
      </c>
      <c r="CT75" s="26">
        <v>0</v>
      </c>
      <c r="CU75" s="26">
        <v>0</v>
      </c>
      <c r="CV75" s="26">
        <v>9999</v>
      </c>
      <c r="CW75" s="30">
        <v>9999</v>
      </c>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t="s">
        <v>463</v>
      </c>
      <c r="B76" s="7"/>
      <c r="C76" s="26">
        <v>10</v>
      </c>
      <c r="D76" s="26">
        <v>401.32895738875931</v>
      </c>
      <c r="E76" s="26">
        <v>0</v>
      </c>
      <c r="F76" s="26">
        <v>49.322923996876881</v>
      </c>
      <c r="G76" s="26">
        <v>0</v>
      </c>
      <c r="H76" s="26">
        <v>0</v>
      </c>
      <c r="I76" s="26"/>
      <c r="J76" s="26"/>
      <c r="K76" s="26"/>
      <c r="L76" s="26">
        <v>429.10735973962136</v>
      </c>
      <c r="M76" s="26">
        <v>1.1413508882676007E-3</v>
      </c>
      <c r="N76" s="26">
        <v>1.1331131293875613E-3</v>
      </c>
      <c r="O76" s="26">
        <v>0</v>
      </c>
      <c r="P76" s="26">
        <v>0</v>
      </c>
      <c r="Q76" s="26">
        <v>0</v>
      </c>
      <c r="R76" s="26">
        <v>9.8356499253646028</v>
      </c>
      <c r="S76" s="26">
        <v>22.728690983608814</v>
      </c>
      <c r="T76" s="26">
        <v>0</v>
      </c>
      <c r="U76" s="26">
        <v>59.116524315948027</v>
      </c>
      <c r="V76" s="26">
        <v>2.9593754398126131</v>
      </c>
      <c r="W76" s="26">
        <v>6.9052093595627628</v>
      </c>
      <c r="X76" s="26">
        <v>0</v>
      </c>
      <c r="Y76" s="26">
        <v>0</v>
      </c>
      <c r="Z76" s="26">
        <v>0</v>
      </c>
      <c r="AA76" s="26">
        <v>0</v>
      </c>
      <c r="AB76" s="26">
        <v>0</v>
      </c>
      <c r="AC76" s="26">
        <v>0</v>
      </c>
      <c r="AD76" s="26">
        <v>0</v>
      </c>
      <c r="AE76" s="26">
        <v>0</v>
      </c>
      <c r="AF76" s="26">
        <v>0</v>
      </c>
      <c r="AG76" s="26">
        <v>0</v>
      </c>
      <c r="AH76" s="26">
        <v>12.795025365177215</v>
      </c>
      <c r="AI76" s="26">
        <v>29.633900343171575</v>
      </c>
      <c r="AJ76" s="26">
        <v>0</v>
      </c>
      <c r="AK76" s="26">
        <v>59.116524315948027</v>
      </c>
      <c r="AL76" s="26">
        <v>101.54545002429683</v>
      </c>
      <c r="AM76" s="26">
        <v>206.39374201793316</v>
      </c>
      <c r="AN76" s="26">
        <v>0.40329460718756149</v>
      </c>
      <c r="AO76" s="26">
        <v>0</v>
      </c>
      <c r="AP76" s="26">
        <v>0</v>
      </c>
      <c r="AQ76" s="26">
        <v>206.79703662512074</v>
      </c>
      <c r="AR76" s="26">
        <v>12.795025365177215</v>
      </c>
      <c r="AS76" s="30">
        <v>16.162299856625296</v>
      </c>
      <c r="AT76" s="26">
        <v>206.39374201793316</v>
      </c>
      <c r="AU76" s="26">
        <v>0.47738069363848096</v>
      </c>
      <c r="AV76" s="26">
        <v>0</v>
      </c>
      <c r="AW76" s="26">
        <v>0</v>
      </c>
      <c r="AX76" s="26">
        <v>206.87112271157164</v>
      </c>
      <c r="AY76" s="26">
        <v>29.633900343171575</v>
      </c>
      <c r="AZ76" s="30">
        <v>6.9808941892875112</v>
      </c>
      <c r="BA76" s="26">
        <v>206.39374201793316</v>
      </c>
      <c r="BB76" s="26">
        <v>0.8806753008260424</v>
      </c>
      <c r="BC76" s="26">
        <v>0</v>
      </c>
      <c r="BD76" s="26">
        <v>0</v>
      </c>
      <c r="BE76" s="26">
        <v>207.27441731875922</v>
      </c>
      <c r="BF76" s="26">
        <v>42.4289257083488</v>
      </c>
      <c r="BG76" s="26">
        <v>7.1245410237959286</v>
      </c>
      <c r="BH76" s="30">
        <v>4.8852148353587364</v>
      </c>
      <c r="BI76" s="26">
        <v>2.1940438459042628</v>
      </c>
      <c r="BJ76" s="26">
        <v>5.0815121363516971</v>
      </c>
      <c r="BK76" s="26">
        <v>0</v>
      </c>
      <c r="BL76" s="26">
        <v>10.137083957618168</v>
      </c>
      <c r="BM76" s="26">
        <v>17.412639939874129</v>
      </c>
      <c r="BN76" s="26">
        <v>206.39374201793316</v>
      </c>
      <c r="BO76" s="26">
        <v>0</v>
      </c>
      <c r="BP76" s="26">
        <v>0.8806753008260424</v>
      </c>
      <c r="BQ76" s="26">
        <v>0</v>
      </c>
      <c r="BR76" s="26">
        <v>0</v>
      </c>
      <c r="BS76" s="26">
        <v>0</v>
      </c>
      <c r="BT76" s="26">
        <v>0</v>
      </c>
      <c r="BU76" s="26">
        <v>0</v>
      </c>
      <c r="BV76" s="26">
        <v>0</v>
      </c>
      <c r="BW76" s="26">
        <v>0</v>
      </c>
      <c r="BX76" s="26">
        <v>91.680865224921448</v>
      </c>
      <c r="BY76" s="26">
        <v>9.8645847993753772</v>
      </c>
      <c r="BZ76" s="26">
        <v>0</v>
      </c>
      <c r="CA76" s="26">
        <v>0</v>
      </c>
      <c r="CB76" s="26">
        <v>207.27441731875922</v>
      </c>
      <c r="CC76" s="26">
        <v>101.54545002429683</v>
      </c>
      <c r="CD76" s="30">
        <v>2.0411984709227697</v>
      </c>
      <c r="CE76" s="26">
        <v>17.261624981414094</v>
      </c>
      <c r="CF76" s="26">
        <v>4.0765750238657521</v>
      </c>
      <c r="CG76" s="26">
        <v>0</v>
      </c>
      <c r="CH76" s="26">
        <v>4.0765750238657521</v>
      </c>
      <c r="CI76" s="26">
        <v>0.20382599587632011</v>
      </c>
      <c r="CJ76" s="26">
        <v>0</v>
      </c>
      <c r="CK76" s="26">
        <v>0.20382599587632011</v>
      </c>
      <c r="CL76" s="26"/>
      <c r="CM76" s="26">
        <v>0</v>
      </c>
      <c r="CN76" s="26"/>
      <c r="CO76" s="26">
        <v>0</v>
      </c>
      <c r="CP76" s="26">
        <v>0</v>
      </c>
      <c r="CQ76" s="26">
        <v>0</v>
      </c>
      <c r="CR76" s="26">
        <v>0</v>
      </c>
      <c r="CS76" s="26">
        <v>0</v>
      </c>
      <c r="CT76" s="26">
        <v>0</v>
      </c>
      <c r="CU76" s="26">
        <v>0</v>
      </c>
      <c r="CV76" s="26">
        <v>9999</v>
      </c>
      <c r="CW76" s="30">
        <v>9999</v>
      </c>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t="s">
        <v>460</v>
      </c>
      <c r="B77" s="7"/>
      <c r="C77" s="26">
        <v>10</v>
      </c>
      <c r="D77" s="26">
        <v>468.93794237430774</v>
      </c>
      <c r="E77" s="26">
        <v>0</v>
      </c>
      <c r="F77" s="26">
        <v>64.150000000000006</v>
      </c>
      <c r="G77" s="26">
        <v>0</v>
      </c>
      <c r="H77" s="26">
        <v>0</v>
      </c>
      <c r="I77" s="26"/>
      <c r="J77" s="26"/>
      <c r="K77" s="26"/>
      <c r="L77" s="26">
        <v>501.3959711335944</v>
      </c>
      <c r="M77" s="26">
        <v>1.3336260123209538E-3</v>
      </c>
      <c r="N77" s="26">
        <v>1.3240004978200418E-3</v>
      </c>
      <c r="O77" s="26">
        <v>0</v>
      </c>
      <c r="P77" s="26">
        <v>0</v>
      </c>
      <c r="Q77" s="26">
        <v>0</v>
      </c>
      <c r="R77" s="26">
        <v>12.792366947914351</v>
      </c>
      <c r="S77" s="26">
        <v>29.561214308600775</v>
      </c>
      <c r="T77" s="26">
        <v>0</v>
      </c>
      <c r="U77" s="26">
        <v>76.887676714142003</v>
      </c>
      <c r="V77" s="26">
        <v>3.8490000000000002</v>
      </c>
      <c r="W77" s="26">
        <v>8.9809999999999999</v>
      </c>
      <c r="X77" s="26">
        <v>0</v>
      </c>
      <c r="Y77" s="26">
        <v>0</v>
      </c>
      <c r="Z77" s="26">
        <v>0</v>
      </c>
      <c r="AA77" s="26">
        <v>0</v>
      </c>
      <c r="AB77" s="26">
        <v>0</v>
      </c>
      <c r="AC77" s="26">
        <v>0</v>
      </c>
      <c r="AD77" s="26">
        <v>0</v>
      </c>
      <c r="AE77" s="26">
        <v>0</v>
      </c>
      <c r="AF77" s="26">
        <v>0</v>
      </c>
      <c r="AG77" s="26">
        <v>0</v>
      </c>
      <c r="AH77" s="26">
        <v>16.641366947914349</v>
      </c>
      <c r="AI77" s="26">
        <v>38.542214308600776</v>
      </c>
      <c r="AJ77" s="26">
        <v>0</v>
      </c>
      <c r="AK77" s="26">
        <v>76.887676714142003</v>
      </c>
      <c r="AL77" s="26">
        <v>132.07125797065714</v>
      </c>
      <c r="AM77" s="26">
        <v>241.16340203946166</v>
      </c>
      <c r="AN77" s="26">
        <v>0.47123473096907104</v>
      </c>
      <c r="AO77" s="26">
        <v>0</v>
      </c>
      <c r="AP77" s="26">
        <v>0</v>
      </c>
      <c r="AQ77" s="26">
        <v>241.63463677043072</v>
      </c>
      <c r="AR77" s="26">
        <v>16.641366947914349</v>
      </c>
      <c r="AS77" s="30">
        <v>14.520119502605802</v>
      </c>
      <c r="AT77" s="26">
        <v>241.16340203946166</v>
      </c>
      <c r="AU77" s="26">
        <v>0.55780156423449545</v>
      </c>
      <c r="AV77" s="26">
        <v>0</v>
      </c>
      <c r="AW77" s="26">
        <v>0</v>
      </c>
      <c r="AX77" s="26">
        <v>241.72120360369615</v>
      </c>
      <c r="AY77" s="26">
        <v>38.542214308600776</v>
      </c>
      <c r="AZ77" s="30">
        <v>6.271596169028502</v>
      </c>
      <c r="BA77" s="26">
        <v>241.16340203946166</v>
      </c>
      <c r="BB77" s="26">
        <v>1.0290362952035665</v>
      </c>
      <c r="BC77" s="26">
        <v>0</v>
      </c>
      <c r="BD77" s="26">
        <v>0</v>
      </c>
      <c r="BE77" s="26">
        <v>242.19243833466521</v>
      </c>
      <c r="BF77" s="26">
        <v>55.183581256515126</v>
      </c>
      <c r="BG77" s="26">
        <v>7.9473837763287651</v>
      </c>
      <c r="BH77" s="30">
        <v>4.3888495965649437</v>
      </c>
      <c r="BI77" s="26">
        <v>2.4421833807720561</v>
      </c>
      <c r="BJ77" s="26">
        <v>5.6562153540167355</v>
      </c>
      <c r="BK77" s="26">
        <v>0</v>
      </c>
      <c r="BL77" s="26">
        <v>11.283556623993906</v>
      </c>
      <c r="BM77" s="26">
        <v>19.381955358782701</v>
      </c>
      <c r="BN77" s="26">
        <v>241.16340203946166</v>
      </c>
      <c r="BO77" s="26">
        <v>0</v>
      </c>
      <c r="BP77" s="26">
        <v>1.0290362952035665</v>
      </c>
      <c r="BQ77" s="26">
        <v>0</v>
      </c>
      <c r="BR77" s="26">
        <v>0</v>
      </c>
      <c r="BS77" s="26">
        <v>0</v>
      </c>
      <c r="BT77" s="26">
        <v>0</v>
      </c>
      <c r="BU77" s="26">
        <v>0</v>
      </c>
      <c r="BV77" s="26">
        <v>0</v>
      </c>
      <c r="BW77" s="26">
        <v>0</v>
      </c>
      <c r="BX77" s="26">
        <v>119.24125797065713</v>
      </c>
      <c r="BY77" s="26">
        <v>12.830000000000002</v>
      </c>
      <c r="BZ77" s="26">
        <v>0</v>
      </c>
      <c r="CA77" s="26">
        <v>0</v>
      </c>
      <c r="CB77" s="26">
        <v>242.19243833466521</v>
      </c>
      <c r="CC77" s="26">
        <v>132.07125797065714</v>
      </c>
      <c r="CD77" s="30">
        <v>1.8338012528696757</v>
      </c>
      <c r="CE77" s="26">
        <v>19.230940400322673</v>
      </c>
      <c r="CF77" s="26">
        <v>4.7633261154746762</v>
      </c>
      <c r="CG77" s="26">
        <v>0</v>
      </c>
      <c r="CH77" s="26">
        <v>4.7633261154746762</v>
      </c>
      <c r="CI77" s="26">
        <v>0.23816308628845728</v>
      </c>
      <c r="CJ77" s="26">
        <v>0</v>
      </c>
      <c r="CK77" s="26">
        <v>0.23816308628845728</v>
      </c>
      <c r="CL77" s="26"/>
      <c r="CM77" s="26">
        <v>0</v>
      </c>
      <c r="CN77" s="26"/>
      <c r="CO77" s="26">
        <v>0</v>
      </c>
      <c r="CP77" s="26">
        <v>0</v>
      </c>
      <c r="CQ77" s="26">
        <v>0</v>
      </c>
      <c r="CR77" s="26">
        <v>0</v>
      </c>
      <c r="CS77" s="26">
        <v>0</v>
      </c>
      <c r="CT77" s="26">
        <v>0</v>
      </c>
      <c r="CU77" s="26">
        <v>0</v>
      </c>
      <c r="CV77" s="26">
        <v>9999</v>
      </c>
      <c r="CW77" s="30">
        <v>9999</v>
      </c>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t="s">
        <v>462</v>
      </c>
      <c r="B78" s="7"/>
      <c r="C78" s="26">
        <v>10</v>
      </c>
      <c r="D78" s="26">
        <v>155.81570539639128</v>
      </c>
      <c r="E78" s="26">
        <v>0</v>
      </c>
      <c r="F78" s="26">
        <v>24.056249999999999</v>
      </c>
      <c r="G78" s="26">
        <v>0</v>
      </c>
      <c r="H78" s="26">
        <v>5.8759579034720248</v>
      </c>
      <c r="I78" s="26"/>
      <c r="J78" s="26"/>
      <c r="K78" s="26"/>
      <c r="L78" s="26">
        <v>166.60065195306746</v>
      </c>
      <c r="M78" s="26">
        <v>4.4312873637957688E-4</v>
      </c>
      <c r="N78" s="26">
        <v>4.3993043187862515E-4</v>
      </c>
      <c r="O78" s="26">
        <v>0</v>
      </c>
      <c r="P78" s="26">
        <v>0</v>
      </c>
      <c r="Q78" s="26">
        <v>0</v>
      </c>
      <c r="R78" s="26">
        <v>4.7971376054678805</v>
      </c>
      <c r="S78" s="26">
        <v>11.085455365725288</v>
      </c>
      <c r="T78" s="26">
        <v>0</v>
      </c>
      <c r="U78" s="26">
        <v>28.832878767803244</v>
      </c>
      <c r="V78" s="26">
        <v>1.4433749999999999</v>
      </c>
      <c r="W78" s="26">
        <v>3.3678749999999997</v>
      </c>
      <c r="X78" s="26">
        <v>0</v>
      </c>
      <c r="Y78" s="26">
        <v>0</v>
      </c>
      <c r="Z78" s="26">
        <v>0</v>
      </c>
      <c r="AA78" s="26">
        <v>0</v>
      </c>
      <c r="AB78" s="26">
        <v>0</v>
      </c>
      <c r="AC78" s="26">
        <v>0</v>
      </c>
      <c r="AD78" s="26">
        <v>0</v>
      </c>
      <c r="AE78" s="26">
        <v>0</v>
      </c>
      <c r="AF78" s="26">
        <v>0</v>
      </c>
      <c r="AG78" s="26">
        <v>5.8759579034720248</v>
      </c>
      <c r="AH78" s="26">
        <v>6.2405126054678801</v>
      </c>
      <c r="AI78" s="26">
        <v>14.453330365725288</v>
      </c>
      <c r="AJ78" s="26">
        <v>0</v>
      </c>
      <c r="AK78" s="26">
        <v>34.708836671275272</v>
      </c>
      <c r="AL78" s="26">
        <v>55.402679642468442</v>
      </c>
      <c r="AM78" s="26">
        <v>80.132235438901759</v>
      </c>
      <c r="AN78" s="26">
        <v>0.15657886764602169</v>
      </c>
      <c r="AO78" s="26">
        <v>0</v>
      </c>
      <c r="AP78" s="26">
        <v>0</v>
      </c>
      <c r="AQ78" s="26">
        <v>80.288814306547778</v>
      </c>
      <c r="AR78" s="26">
        <v>6.2405126054678801</v>
      </c>
      <c r="AS78" s="30">
        <v>12.865740265663344</v>
      </c>
      <c r="AT78" s="26">
        <v>80.132235438901759</v>
      </c>
      <c r="AU78" s="26">
        <v>0.18534274228770581</v>
      </c>
      <c r="AV78" s="26">
        <v>0</v>
      </c>
      <c r="AW78" s="26">
        <v>0</v>
      </c>
      <c r="AX78" s="26">
        <v>80.317578181189461</v>
      </c>
      <c r="AY78" s="26">
        <v>14.453330365725288</v>
      </c>
      <c r="AZ78" s="30">
        <v>5.5570291516794663</v>
      </c>
      <c r="BA78" s="26">
        <v>80.132235438901759</v>
      </c>
      <c r="BB78" s="26">
        <v>0.3419216099337275</v>
      </c>
      <c r="BC78" s="26">
        <v>0</v>
      </c>
      <c r="BD78" s="26">
        <v>0</v>
      </c>
      <c r="BE78" s="26">
        <v>80.47415704883548</v>
      </c>
      <c r="BF78" s="26">
        <v>20.69384297119317</v>
      </c>
      <c r="BG78" s="26">
        <v>8.9887403125765992</v>
      </c>
      <c r="BH78" s="30">
        <v>3.888797124867498</v>
      </c>
      <c r="BI78" s="26">
        <v>2.7562187486970635</v>
      </c>
      <c r="BJ78" s="26">
        <v>6.3835365223395613</v>
      </c>
      <c r="BK78" s="26">
        <v>0</v>
      </c>
      <c r="BL78" s="26">
        <v>15.32969363686761</v>
      </c>
      <c r="BM78" s="26">
        <v>24.469448907904237</v>
      </c>
      <c r="BN78" s="26">
        <v>80.132235438901759</v>
      </c>
      <c r="BO78" s="26">
        <v>0</v>
      </c>
      <c r="BP78" s="26">
        <v>0.3419216099337275</v>
      </c>
      <c r="BQ78" s="26">
        <v>0</v>
      </c>
      <c r="BR78" s="26">
        <v>0</v>
      </c>
      <c r="BS78" s="26">
        <v>0</v>
      </c>
      <c r="BT78" s="26">
        <v>0</v>
      </c>
      <c r="BU78" s="26">
        <v>0</v>
      </c>
      <c r="BV78" s="26">
        <v>0</v>
      </c>
      <c r="BW78" s="26">
        <v>0</v>
      </c>
      <c r="BX78" s="26">
        <v>44.715471738996413</v>
      </c>
      <c r="BY78" s="26">
        <v>4.8112500000000002</v>
      </c>
      <c r="BZ78" s="26">
        <v>0</v>
      </c>
      <c r="CA78" s="26">
        <v>5.8759579034720248</v>
      </c>
      <c r="CB78" s="26">
        <v>80.47415704883548</v>
      </c>
      <c r="CC78" s="26">
        <v>55.402679642468442</v>
      </c>
      <c r="CD78" s="30">
        <v>1.4525318552850053</v>
      </c>
      <c r="CE78" s="26">
        <v>24.318433949444213</v>
      </c>
      <c r="CF78" s="26">
        <v>1.5827275885543786</v>
      </c>
      <c r="CG78" s="26">
        <v>0</v>
      </c>
      <c r="CH78" s="26">
        <v>1.5827275885543786</v>
      </c>
      <c r="CI78" s="26">
        <v>7.9135309677707044E-2</v>
      </c>
      <c r="CJ78" s="26">
        <v>0</v>
      </c>
      <c r="CK78" s="26">
        <v>7.9135309677707044E-2</v>
      </c>
      <c r="CL78" s="26"/>
      <c r="CM78" s="26">
        <v>0</v>
      </c>
      <c r="CN78" s="26"/>
      <c r="CO78" s="26">
        <v>0</v>
      </c>
      <c r="CP78" s="26">
        <v>0</v>
      </c>
      <c r="CQ78" s="26">
        <v>0</v>
      </c>
      <c r="CR78" s="26">
        <v>0</v>
      </c>
      <c r="CS78" s="26">
        <v>0</v>
      </c>
      <c r="CT78" s="26">
        <v>0</v>
      </c>
      <c r="CU78" s="26">
        <v>0</v>
      </c>
      <c r="CV78" s="26">
        <v>9999</v>
      </c>
      <c r="CW78" s="30">
        <v>9999</v>
      </c>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467</v>
      </c>
      <c r="B79" s="7"/>
      <c r="C79" s="26">
        <v>10</v>
      </c>
      <c r="D79" s="26">
        <v>403.26183697404838</v>
      </c>
      <c r="E79" s="26">
        <v>0</v>
      </c>
      <c r="F79" s="26">
        <v>48.908368968785467</v>
      </c>
      <c r="G79" s="26">
        <v>4.8112499999999994</v>
      </c>
      <c r="H79" s="26">
        <v>0</v>
      </c>
      <c r="I79" s="26"/>
      <c r="J79" s="26"/>
      <c r="K79" s="26"/>
      <c r="L79" s="26">
        <v>431.17402560129892</v>
      </c>
      <c r="M79" s="26">
        <v>1.1468478597444107E-3</v>
      </c>
      <c r="N79" s="26">
        <v>1.1385704261893334E-3</v>
      </c>
      <c r="O79" s="26">
        <v>0</v>
      </c>
      <c r="P79" s="26">
        <v>0</v>
      </c>
      <c r="Q79" s="26">
        <v>0</v>
      </c>
      <c r="R79" s="26">
        <v>9.7529821149289333</v>
      </c>
      <c r="S79" s="26">
        <v>22.537658247394962</v>
      </c>
      <c r="T79" s="26">
        <v>0</v>
      </c>
      <c r="U79" s="26">
        <v>58.619654900825424</v>
      </c>
      <c r="V79" s="26">
        <v>2.9345021381271281</v>
      </c>
      <c r="W79" s="26">
        <v>6.8471716556299658</v>
      </c>
      <c r="X79" s="26">
        <v>0</v>
      </c>
      <c r="Y79" s="26">
        <v>0</v>
      </c>
      <c r="Z79" s="26">
        <v>0</v>
      </c>
      <c r="AA79" s="26">
        <v>0</v>
      </c>
      <c r="AB79" s="26">
        <v>0</v>
      </c>
      <c r="AC79" s="26">
        <v>65.386457627225766</v>
      </c>
      <c r="AD79" s="26">
        <v>0</v>
      </c>
      <c r="AE79" s="26">
        <v>0</v>
      </c>
      <c r="AF79" s="26">
        <v>0</v>
      </c>
      <c r="AG79" s="26">
        <v>0</v>
      </c>
      <c r="AH79" s="26">
        <v>12.687484253056061</v>
      </c>
      <c r="AI79" s="26">
        <v>29.384829903024929</v>
      </c>
      <c r="AJ79" s="26">
        <v>0</v>
      </c>
      <c r="AK79" s="26">
        <v>124.00611252805119</v>
      </c>
      <c r="AL79" s="26">
        <v>166.07842668413218</v>
      </c>
      <c r="AM79" s="26">
        <v>207.38777507518779</v>
      </c>
      <c r="AN79" s="26">
        <v>0.40523695373081098</v>
      </c>
      <c r="AO79" s="26">
        <v>0</v>
      </c>
      <c r="AP79" s="26">
        <v>0</v>
      </c>
      <c r="AQ79" s="26">
        <v>207.79301202891861</v>
      </c>
      <c r="AR79" s="26">
        <v>12.687484253056061</v>
      </c>
      <c r="AS79" s="30">
        <v>16.377794674217395</v>
      </c>
      <c r="AT79" s="26">
        <v>207.38777507518779</v>
      </c>
      <c r="AU79" s="26">
        <v>0.47967985341790148</v>
      </c>
      <c r="AV79" s="26">
        <v>0</v>
      </c>
      <c r="AW79" s="26">
        <v>0</v>
      </c>
      <c r="AX79" s="26">
        <v>207.8674549286057</v>
      </c>
      <c r="AY79" s="26">
        <v>29.384829903024929</v>
      </c>
      <c r="AZ79" s="30">
        <v>7.0739716926932914</v>
      </c>
      <c r="BA79" s="26">
        <v>207.38777507518779</v>
      </c>
      <c r="BB79" s="26">
        <v>0.88491680714871246</v>
      </c>
      <c r="BC79" s="26">
        <v>0</v>
      </c>
      <c r="BD79" s="26">
        <v>0</v>
      </c>
      <c r="BE79" s="26">
        <v>208.27269188233652</v>
      </c>
      <c r="BF79" s="26">
        <v>42.072314156080992</v>
      </c>
      <c r="BG79" s="26">
        <v>7.0288111260615667</v>
      </c>
      <c r="BH79" s="30">
        <v>4.9503502733336928</v>
      </c>
      <c r="BI79" s="26">
        <v>2.1651751802647752</v>
      </c>
      <c r="BJ79" s="26">
        <v>5.014650904256821</v>
      </c>
      <c r="BK79" s="26">
        <v>0</v>
      </c>
      <c r="BL79" s="26">
        <v>21.162190367423253</v>
      </c>
      <c r="BM79" s="26">
        <v>28.342016451944854</v>
      </c>
      <c r="BN79" s="26">
        <v>207.38777507518779</v>
      </c>
      <c r="BO79" s="26">
        <v>0</v>
      </c>
      <c r="BP79" s="26">
        <v>0.88491680714871246</v>
      </c>
      <c r="BQ79" s="26">
        <v>0</v>
      </c>
      <c r="BR79" s="26">
        <v>0</v>
      </c>
      <c r="BS79" s="26">
        <v>0</v>
      </c>
      <c r="BT79" s="26">
        <v>0</v>
      </c>
      <c r="BU79" s="26">
        <v>0</v>
      </c>
      <c r="BV79" s="26">
        <v>0</v>
      </c>
      <c r="BW79" s="26">
        <v>0</v>
      </c>
      <c r="BX79" s="26">
        <v>90.910295263149322</v>
      </c>
      <c r="BY79" s="26">
        <v>9.7816737937570934</v>
      </c>
      <c r="BZ79" s="26">
        <v>65.386457627225766</v>
      </c>
      <c r="CA79" s="26">
        <v>0</v>
      </c>
      <c r="CB79" s="26">
        <v>208.27269188233652</v>
      </c>
      <c r="CC79" s="26">
        <v>166.07842668413218</v>
      </c>
      <c r="CD79" s="30">
        <v>1.254062288767068</v>
      </c>
      <c r="CE79" s="26">
        <v>28.191001493484816</v>
      </c>
      <c r="CF79" s="26">
        <v>4.0962086149547092</v>
      </c>
      <c r="CG79" s="26">
        <v>0</v>
      </c>
      <c r="CH79" s="26">
        <v>4.0962086149547092</v>
      </c>
      <c r="CI79" s="26">
        <v>0.20480766216061699</v>
      </c>
      <c r="CJ79" s="26">
        <v>0</v>
      </c>
      <c r="CK79" s="26">
        <v>0.20480766216061699</v>
      </c>
      <c r="CL79" s="26"/>
      <c r="CM79" s="26">
        <v>0</v>
      </c>
      <c r="CN79" s="26"/>
      <c r="CO79" s="26">
        <v>0</v>
      </c>
      <c r="CP79" s="26">
        <v>0</v>
      </c>
      <c r="CQ79" s="26">
        <v>0</v>
      </c>
      <c r="CR79" s="26">
        <v>0</v>
      </c>
      <c r="CS79" s="26">
        <v>0</v>
      </c>
      <c r="CT79" s="26">
        <v>0</v>
      </c>
      <c r="CU79" s="26">
        <v>0</v>
      </c>
      <c r="CV79" s="26">
        <v>9999</v>
      </c>
      <c r="CW79" s="30">
        <v>9999</v>
      </c>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t="s">
        <v>464</v>
      </c>
      <c r="B80" s="7"/>
      <c r="C80" s="26">
        <v>10</v>
      </c>
      <c r="D80" s="26">
        <v>268.2525780049383</v>
      </c>
      <c r="E80" s="26">
        <v>0</v>
      </c>
      <c r="F80" s="26">
        <v>64.150000000000006</v>
      </c>
      <c r="G80" s="26">
        <v>0</v>
      </c>
      <c r="H80" s="26">
        <v>0</v>
      </c>
      <c r="I80" s="26"/>
      <c r="J80" s="26"/>
      <c r="K80" s="26"/>
      <c r="L80" s="26">
        <v>286.81995996501684</v>
      </c>
      <c r="M80" s="26">
        <v>7.6289117081932648E-4</v>
      </c>
      <c r="N80" s="26">
        <v>7.5738496446199882E-4</v>
      </c>
      <c r="O80" s="26">
        <v>0</v>
      </c>
      <c r="P80" s="26">
        <v>0</v>
      </c>
      <c r="Q80" s="26">
        <v>0</v>
      </c>
      <c r="R80" s="26">
        <v>12.792366947914351</v>
      </c>
      <c r="S80" s="26">
        <v>29.561214308600775</v>
      </c>
      <c r="T80" s="26">
        <v>0</v>
      </c>
      <c r="U80" s="26">
        <v>76.887676714142003</v>
      </c>
      <c r="V80" s="26">
        <v>3.8490000000000002</v>
      </c>
      <c r="W80" s="26">
        <v>8.9809999999999999</v>
      </c>
      <c r="X80" s="26">
        <v>0</v>
      </c>
      <c r="Y80" s="26">
        <v>0</v>
      </c>
      <c r="Z80" s="26">
        <v>0</v>
      </c>
      <c r="AA80" s="26">
        <v>0</v>
      </c>
      <c r="AB80" s="26">
        <v>0</v>
      </c>
      <c r="AC80" s="26">
        <v>0</v>
      </c>
      <c r="AD80" s="26">
        <v>0</v>
      </c>
      <c r="AE80" s="26">
        <v>0</v>
      </c>
      <c r="AF80" s="26">
        <v>0</v>
      </c>
      <c r="AG80" s="26">
        <v>0</v>
      </c>
      <c r="AH80" s="26">
        <v>16.641366947914349</v>
      </c>
      <c r="AI80" s="26">
        <v>38.542214308600776</v>
      </c>
      <c r="AJ80" s="26">
        <v>0</v>
      </c>
      <c r="AK80" s="26">
        <v>76.887676714142003</v>
      </c>
      <c r="AL80" s="26">
        <v>132.07125797065714</v>
      </c>
      <c r="AM80" s="26">
        <v>137.95579003476965</v>
      </c>
      <c r="AN80" s="26">
        <v>0.26956643940535746</v>
      </c>
      <c r="AO80" s="26">
        <v>0</v>
      </c>
      <c r="AP80" s="26">
        <v>0</v>
      </c>
      <c r="AQ80" s="26">
        <v>138.22535647417502</v>
      </c>
      <c r="AR80" s="26">
        <v>16.641366947914349</v>
      </c>
      <c r="AS80" s="30">
        <v>8.3061299535552102</v>
      </c>
      <c r="AT80" s="26">
        <v>137.95579003476965</v>
      </c>
      <c r="AU80" s="26">
        <v>0.31908637391011974</v>
      </c>
      <c r="AV80" s="26">
        <v>0</v>
      </c>
      <c r="AW80" s="26">
        <v>0</v>
      </c>
      <c r="AX80" s="26">
        <v>138.27487640867977</v>
      </c>
      <c r="AY80" s="26">
        <v>38.542214308600776</v>
      </c>
      <c r="AZ80" s="30">
        <v>3.5876214921523966</v>
      </c>
      <c r="BA80" s="26">
        <v>137.95579003476965</v>
      </c>
      <c r="BB80" s="26">
        <v>0.58865281331547714</v>
      </c>
      <c r="BC80" s="26">
        <v>0</v>
      </c>
      <c r="BD80" s="26">
        <v>0</v>
      </c>
      <c r="BE80" s="26">
        <v>138.54444284808514</v>
      </c>
      <c r="BF80" s="26">
        <v>55.183581256515126</v>
      </c>
      <c r="BG80" s="26">
        <v>14.005965255719461</v>
      </c>
      <c r="BH80" s="30">
        <v>2.5106098533923658</v>
      </c>
      <c r="BI80" s="26">
        <v>4.2692318485710725</v>
      </c>
      <c r="BJ80" s="26">
        <v>9.8877483656084237</v>
      </c>
      <c r="BK80" s="26">
        <v>0</v>
      </c>
      <c r="BL80" s="26">
        <v>19.725021340977698</v>
      </c>
      <c r="BM80" s="26">
        <v>33.882001555157196</v>
      </c>
      <c r="BN80" s="26">
        <v>137.95579003476965</v>
      </c>
      <c r="BO80" s="26">
        <v>0</v>
      </c>
      <c r="BP80" s="26">
        <v>0.58865281331547714</v>
      </c>
      <c r="BQ80" s="26">
        <v>0</v>
      </c>
      <c r="BR80" s="26">
        <v>0</v>
      </c>
      <c r="BS80" s="26">
        <v>0</v>
      </c>
      <c r="BT80" s="26">
        <v>0</v>
      </c>
      <c r="BU80" s="26">
        <v>0</v>
      </c>
      <c r="BV80" s="26">
        <v>0</v>
      </c>
      <c r="BW80" s="26">
        <v>0</v>
      </c>
      <c r="BX80" s="26">
        <v>119.24125797065713</v>
      </c>
      <c r="BY80" s="26">
        <v>12.830000000000002</v>
      </c>
      <c r="BZ80" s="26">
        <v>0</v>
      </c>
      <c r="CA80" s="26">
        <v>0</v>
      </c>
      <c r="CB80" s="26">
        <v>138.54444284808514</v>
      </c>
      <c r="CC80" s="26">
        <v>132.07125797065714</v>
      </c>
      <c r="CD80" s="30">
        <v>1.0490128206310125</v>
      </c>
      <c r="CE80" s="26">
        <v>33.730986596697171</v>
      </c>
      <c r="CF80" s="26">
        <v>2.7248264533357101</v>
      </c>
      <c r="CG80" s="26">
        <v>0</v>
      </c>
      <c r="CH80" s="26">
        <v>2.7248264533357101</v>
      </c>
      <c r="CI80" s="26">
        <v>0.13623948098338298</v>
      </c>
      <c r="CJ80" s="26">
        <v>0</v>
      </c>
      <c r="CK80" s="26">
        <v>0.13623948098338298</v>
      </c>
      <c r="CL80" s="26"/>
      <c r="CM80" s="26">
        <v>0</v>
      </c>
      <c r="CN80" s="26"/>
      <c r="CO80" s="26">
        <v>0</v>
      </c>
      <c r="CP80" s="26">
        <v>0</v>
      </c>
      <c r="CQ80" s="26">
        <v>0</v>
      </c>
      <c r="CR80" s="26">
        <v>0</v>
      </c>
      <c r="CS80" s="26">
        <v>0</v>
      </c>
      <c r="CT80" s="26">
        <v>0</v>
      </c>
      <c r="CU80" s="26">
        <v>0</v>
      </c>
      <c r="CV80" s="26">
        <v>9999</v>
      </c>
      <c r="CW80" s="30">
        <v>9999</v>
      </c>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t="s">
        <v>469</v>
      </c>
      <c r="B81" s="7"/>
      <c r="C81" s="26">
        <v>10</v>
      </c>
      <c r="D81" s="26">
        <v>392.11107274840714</v>
      </c>
      <c r="E81" s="26">
        <v>0</v>
      </c>
      <c r="F81" s="26">
        <v>78.916678395003004</v>
      </c>
      <c r="G81" s="26">
        <v>4.8112499999999994</v>
      </c>
      <c r="H81" s="26">
        <v>0</v>
      </c>
      <c r="I81" s="26"/>
      <c r="J81" s="26"/>
      <c r="K81" s="26"/>
      <c r="L81" s="26">
        <v>419.25144960011363</v>
      </c>
      <c r="M81" s="26">
        <v>1.1151358827751789E-3</v>
      </c>
      <c r="N81" s="26">
        <v>1.107087332048833E-3</v>
      </c>
      <c r="O81" s="26">
        <v>0</v>
      </c>
      <c r="P81" s="26">
        <v>0</v>
      </c>
      <c r="Q81" s="26">
        <v>0</v>
      </c>
      <c r="R81" s="26">
        <v>15.737039880583364</v>
      </c>
      <c r="S81" s="26">
        <v>36.3659055737741</v>
      </c>
      <c r="T81" s="26">
        <v>0</v>
      </c>
      <c r="U81" s="26">
        <v>94.586438905516829</v>
      </c>
      <c r="V81" s="26">
        <v>4.7350007037001802</v>
      </c>
      <c r="W81" s="26">
        <v>11.048334975300421</v>
      </c>
      <c r="X81" s="26">
        <v>0</v>
      </c>
      <c r="Y81" s="26">
        <v>0</v>
      </c>
      <c r="Z81" s="26">
        <v>0</v>
      </c>
      <c r="AA81" s="26">
        <v>0</v>
      </c>
      <c r="AB81" s="26">
        <v>0</v>
      </c>
      <c r="AC81" s="26">
        <v>65.386457627225766</v>
      </c>
      <c r="AD81" s="26">
        <v>0</v>
      </c>
      <c r="AE81" s="26">
        <v>0</v>
      </c>
      <c r="AF81" s="26">
        <v>0</v>
      </c>
      <c r="AG81" s="26">
        <v>0</v>
      </c>
      <c r="AH81" s="26">
        <v>20.472040584283544</v>
      </c>
      <c r="AI81" s="26">
        <v>47.41424054907452</v>
      </c>
      <c r="AJ81" s="26">
        <v>0</v>
      </c>
      <c r="AK81" s="26">
        <v>159.9728965327426</v>
      </c>
      <c r="AL81" s="26">
        <v>227.85917766610066</v>
      </c>
      <c r="AM81" s="26">
        <v>201.65320767725024</v>
      </c>
      <c r="AN81" s="26">
        <v>0.39403157471335609</v>
      </c>
      <c r="AO81" s="26">
        <v>0</v>
      </c>
      <c r="AP81" s="26">
        <v>0</v>
      </c>
      <c r="AQ81" s="26">
        <v>202.04723925196359</v>
      </c>
      <c r="AR81" s="26">
        <v>20.472040584283544</v>
      </c>
      <c r="AS81" s="30">
        <v>9.8694235398827779</v>
      </c>
      <c r="AT81" s="26">
        <v>201.65320767725024</v>
      </c>
      <c r="AU81" s="26">
        <v>0.4664160221826204</v>
      </c>
      <c r="AV81" s="26">
        <v>0</v>
      </c>
      <c r="AW81" s="26">
        <v>0</v>
      </c>
      <c r="AX81" s="26">
        <v>202.11962369943285</v>
      </c>
      <c r="AY81" s="26">
        <v>47.41424054907452</v>
      </c>
      <c r="AZ81" s="30">
        <v>4.2628463803028902</v>
      </c>
      <c r="BA81" s="26">
        <v>201.65320767725024</v>
      </c>
      <c r="BB81" s="26">
        <v>0.8604475968959765</v>
      </c>
      <c r="BC81" s="26">
        <v>0</v>
      </c>
      <c r="BD81" s="26">
        <v>0</v>
      </c>
      <c r="BE81" s="26">
        <v>202.5136552741462</v>
      </c>
      <c r="BF81" s="26">
        <v>67.886281133358068</v>
      </c>
      <c r="BG81" s="26">
        <v>11.763532728514758</v>
      </c>
      <c r="BH81" s="30">
        <v>2.9831307871515547</v>
      </c>
      <c r="BI81" s="26">
        <v>3.5929955171940335</v>
      </c>
      <c r="BJ81" s="26">
        <v>8.3215521697807517</v>
      </c>
      <c r="BK81" s="26">
        <v>0</v>
      </c>
      <c r="BL81" s="26">
        <v>28.076434185850097</v>
      </c>
      <c r="BM81" s="26">
        <v>39.990981872824882</v>
      </c>
      <c r="BN81" s="26">
        <v>201.65320767725024</v>
      </c>
      <c r="BO81" s="26">
        <v>0</v>
      </c>
      <c r="BP81" s="26">
        <v>0.8604475968959765</v>
      </c>
      <c r="BQ81" s="26">
        <v>0</v>
      </c>
      <c r="BR81" s="26">
        <v>0</v>
      </c>
      <c r="BS81" s="26">
        <v>0</v>
      </c>
      <c r="BT81" s="26">
        <v>0</v>
      </c>
      <c r="BU81" s="26">
        <v>0</v>
      </c>
      <c r="BV81" s="26">
        <v>0</v>
      </c>
      <c r="BW81" s="26">
        <v>0</v>
      </c>
      <c r="BX81" s="26">
        <v>146.68938435987428</v>
      </c>
      <c r="BY81" s="26">
        <v>15.783335679000601</v>
      </c>
      <c r="BZ81" s="26">
        <v>65.386457627225766</v>
      </c>
      <c r="CA81" s="26">
        <v>0</v>
      </c>
      <c r="CB81" s="26">
        <v>202.5136552741462</v>
      </c>
      <c r="CC81" s="26">
        <v>227.85917766610063</v>
      </c>
      <c r="CD81" s="115">
        <v>0.88876672578404914</v>
      </c>
      <c r="CE81" s="26">
        <v>39.839966914364851</v>
      </c>
      <c r="CF81" s="26">
        <v>3.9829426118359033</v>
      </c>
      <c r="CG81" s="26">
        <v>0</v>
      </c>
      <c r="CH81" s="26">
        <v>3.9829426118359033</v>
      </c>
      <c r="CI81" s="26">
        <v>0.19914443856005395</v>
      </c>
      <c r="CJ81" s="26">
        <v>0</v>
      </c>
      <c r="CK81" s="26">
        <v>0.19914443856005395</v>
      </c>
      <c r="CL81" s="26"/>
      <c r="CM81" s="26">
        <v>0</v>
      </c>
      <c r="CN81" s="26"/>
      <c r="CO81" s="26">
        <v>0</v>
      </c>
      <c r="CP81" s="26">
        <v>0</v>
      </c>
      <c r="CQ81" s="26">
        <v>0</v>
      </c>
      <c r="CR81" s="26">
        <v>0</v>
      </c>
      <c r="CS81" s="26">
        <v>0</v>
      </c>
      <c r="CT81" s="26">
        <v>0</v>
      </c>
      <c r="CU81" s="26">
        <v>0</v>
      </c>
      <c r="CV81" s="26">
        <v>9999</v>
      </c>
      <c r="CW81" s="30">
        <v>9999</v>
      </c>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t="s">
        <v>465</v>
      </c>
      <c r="B82" s="7"/>
      <c r="C82" s="26">
        <v>10</v>
      </c>
      <c r="D82" s="26">
        <v>403.26183697404838</v>
      </c>
      <c r="E82" s="26">
        <v>0</v>
      </c>
      <c r="F82" s="26">
        <v>18.340638363294548</v>
      </c>
      <c r="G82" s="26">
        <v>15.395999999999999</v>
      </c>
      <c r="H82" s="26">
        <v>0</v>
      </c>
      <c r="I82" s="26"/>
      <c r="J82" s="26"/>
      <c r="K82" s="26"/>
      <c r="L82" s="26">
        <v>431.17402560129892</v>
      </c>
      <c r="M82" s="26">
        <v>1.1468478597444107E-3</v>
      </c>
      <c r="N82" s="26">
        <v>1.1385704261893334E-3</v>
      </c>
      <c r="O82" s="26">
        <v>0</v>
      </c>
      <c r="P82" s="26">
        <v>0</v>
      </c>
      <c r="Q82" s="26">
        <v>0</v>
      </c>
      <c r="R82" s="26">
        <v>3.6573682930983491</v>
      </c>
      <c r="S82" s="26">
        <v>8.4516218427731111</v>
      </c>
      <c r="T82" s="26">
        <v>0</v>
      </c>
      <c r="U82" s="26">
        <v>21.982370587809534</v>
      </c>
      <c r="V82" s="26">
        <v>1.1004383017976729</v>
      </c>
      <c r="W82" s="26">
        <v>2.5676893708612369</v>
      </c>
      <c r="X82" s="26">
        <v>0</v>
      </c>
      <c r="Y82" s="26">
        <v>0</v>
      </c>
      <c r="Z82" s="26">
        <v>0</v>
      </c>
      <c r="AA82" s="26">
        <v>0</v>
      </c>
      <c r="AB82" s="26">
        <v>0</v>
      </c>
      <c r="AC82" s="26">
        <v>209.23666440712245</v>
      </c>
      <c r="AD82" s="26">
        <v>0</v>
      </c>
      <c r="AE82" s="26">
        <v>0</v>
      </c>
      <c r="AF82" s="26">
        <v>0</v>
      </c>
      <c r="AG82" s="26">
        <v>0</v>
      </c>
      <c r="AH82" s="26">
        <v>4.7578065948960218</v>
      </c>
      <c r="AI82" s="26">
        <v>11.019311213634348</v>
      </c>
      <c r="AJ82" s="26">
        <v>0</v>
      </c>
      <c r="AK82" s="26">
        <v>231.21903499493197</v>
      </c>
      <c r="AL82" s="26">
        <v>246.99615280346234</v>
      </c>
      <c r="AM82" s="26">
        <v>207.38777507518779</v>
      </c>
      <c r="AN82" s="26">
        <v>0.40523695373081098</v>
      </c>
      <c r="AO82" s="26">
        <v>0</v>
      </c>
      <c r="AP82" s="26">
        <v>0</v>
      </c>
      <c r="AQ82" s="26">
        <v>207.79301202891861</v>
      </c>
      <c r="AR82" s="26">
        <v>4.7578065948960218</v>
      </c>
      <c r="AS82" s="30">
        <v>43.674119131246393</v>
      </c>
      <c r="AT82" s="26">
        <v>207.38777507518779</v>
      </c>
      <c r="AU82" s="26">
        <v>0.47967985341790148</v>
      </c>
      <c r="AV82" s="26">
        <v>0</v>
      </c>
      <c r="AW82" s="26">
        <v>0</v>
      </c>
      <c r="AX82" s="26">
        <v>207.8674549286057</v>
      </c>
      <c r="AY82" s="26">
        <v>11.019311213634348</v>
      </c>
      <c r="AZ82" s="30">
        <v>18.863924513848779</v>
      </c>
      <c r="BA82" s="26">
        <v>207.38777507518779</v>
      </c>
      <c r="BB82" s="26">
        <v>0.88491680714871246</v>
      </c>
      <c r="BC82" s="26">
        <v>0</v>
      </c>
      <c r="BD82" s="26">
        <v>0</v>
      </c>
      <c r="BE82" s="26">
        <v>208.27269188233652</v>
      </c>
      <c r="BF82" s="26">
        <v>15.77711780853037</v>
      </c>
      <c r="BG82" s="26">
        <v>2.5414198232355649</v>
      </c>
      <c r="BH82" s="30">
        <v>13.200934062223181</v>
      </c>
      <c r="BI82" s="26">
        <v>0.81194069259929047</v>
      </c>
      <c r="BJ82" s="26">
        <v>1.8804940890963076</v>
      </c>
      <c r="BK82" s="26">
        <v>0</v>
      </c>
      <c r="BL82" s="26">
        <v>39.458548739101801</v>
      </c>
      <c r="BM82" s="26">
        <v>42.150983520797396</v>
      </c>
      <c r="BN82" s="26">
        <v>207.38777507518779</v>
      </c>
      <c r="BO82" s="26">
        <v>0</v>
      </c>
      <c r="BP82" s="26">
        <v>0.88491680714871246</v>
      </c>
      <c r="BQ82" s="26">
        <v>0</v>
      </c>
      <c r="BR82" s="26">
        <v>0</v>
      </c>
      <c r="BS82" s="26">
        <v>0</v>
      </c>
      <c r="BT82" s="26">
        <v>0</v>
      </c>
      <c r="BU82" s="26">
        <v>0</v>
      </c>
      <c r="BV82" s="26">
        <v>0</v>
      </c>
      <c r="BW82" s="26">
        <v>0</v>
      </c>
      <c r="BX82" s="26">
        <v>34.091360723680992</v>
      </c>
      <c r="BY82" s="26">
        <v>3.66812767265891</v>
      </c>
      <c r="BZ82" s="26">
        <v>209.23666440712245</v>
      </c>
      <c r="CA82" s="26">
        <v>0</v>
      </c>
      <c r="CB82" s="26">
        <v>208.27269188233652</v>
      </c>
      <c r="CC82" s="26">
        <v>246.99615280346234</v>
      </c>
      <c r="CD82" s="115">
        <v>0.84322241265053821</v>
      </c>
      <c r="CE82" s="26">
        <v>41.999968562337358</v>
      </c>
      <c r="CF82" s="26">
        <v>4.0962086149547092</v>
      </c>
      <c r="CG82" s="26">
        <v>0</v>
      </c>
      <c r="CH82" s="26">
        <v>4.0962086149547092</v>
      </c>
      <c r="CI82" s="26">
        <v>0.20480766216061699</v>
      </c>
      <c r="CJ82" s="26">
        <v>0</v>
      </c>
      <c r="CK82" s="26">
        <v>0.20480766216061699</v>
      </c>
      <c r="CL82" s="26"/>
      <c r="CM82" s="26">
        <v>0</v>
      </c>
      <c r="CN82" s="26"/>
      <c r="CO82" s="26">
        <v>0</v>
      </c>
      <c r="CP82" s="26">
        <v>0</v>
      </c>
      <c r="CQ82" s="26">
        <v>0</v>
      </c>
      <c r="CR82" s="26">
        <v>0</v>
      </c>
      <c r="CS82" s="26">
        <v>0</v>
      </c>
      <c r="CT82" s="26">
        <v>0</v>
      </c>
      <c r="CU82" s="26">
        <v>0</v>
      </c>
      <c r="CV82" s="26">
        <v>9999</v>
      </c>
      <c r="CW82" s="30">
        <v>9999</v>
      </c>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t="s">
        <v>466</v>
      </c>
      <c r="B83" s="7"/>
      <c r="C83" s="26">
        <v>10</v>
      </c>
      <c r="D83" s="26">
        <v>392.11107274840714</v>
      </c>
      <c r="E83" s="26">
        <v>0</v>
      </c>
      <c r="F83" s="26">
        <v>38.489999999999995</v>
      </c>
      <c r="G83" s="26">
        <v>15.395999999999999</v>
      </c>
      <c r="H83" s="26">
        <v>0</v>
      </c>
      <c r="I83" s="26"/>
      <c r="J83" s="26"/>
      <c r="K83" s="26"/>
      <c r="L83" s="26">
        <v>419.25144960011363</v>
      </c>
      <c r="M83" s="26">
        <v>1.1151358827751789E-3</v>
      </c>
      <c r="N83" s="26">
        <v>1.107087332048833E-3</v>
      </c>
      <c r="O83" s="26">
        <v>0</v>
      </c>
      <c r="P83" s="26">
        <v>0</v>
      </c>
      <c r="Q83" s="26">
        <v>0</v>
      </c>
      <c r="R83" s="26">
        <v>7.6754201687486088</v>
      </c>
      <c r="S83" s="26">
        <v>17.73672858516046</v>
      </c>
      <c r="T83" s="26">
        <v>0</v>
      </c>
      <c r="U83" s="26">
        <v>46.132606028485185</v>
      </c>
      <c r="V83" s="26">
        <v>2.3093999999999997</v>
      </c>
      <c r="W83" s="26">
        <v>5.3885999999999994</v>
      </c>
      <c r="X83" s="26">
        <v>0</v>
      </c>
      <c r="Y83" s="26">
        <v>0</v>
      </c>
      <c r="Z83" s="26">
        <v>0</v>
      </c>
      <c r="AA83" s="26">
        <v>0</v>
      </c>
      <c r="AB83" s="26">
        <v>0</v>
      </c>
      <c r="AC83" s="26">
        <v>209.23666440712245</v>
      </c>
      <c r="AD83" s="26">
        <v>0</v>
      </c>
      <c r="AE83" s="26">
        <v>0</v>
      </c>
      <c r="AF83" s="26">
        <v>0</v>
      </c>
      <c r="AG83" s="26">
        <v>0</v>
      </c>
      <c r="AH83" s="26">
        <v>9.9848201687486089</v>
      </c>
      <c r="AI83" s="26">
        <v>23.12532858516046</v>
      </c>
      <c r="AJ83" s="26">
        <v>0</v>
      </c>
      <c r="AK83" s="26">
        <v>255.36927043560763</v>
      </c>
      <c r="AL83" s="26">
        <v>288.4794191895167</v>
      </c>
      <c r="AM83" s="26">
        <v>201.65320767725024</v>
      </c>
      <c r="AN83" s="26">
        <v>0.39403157471335609</v>
      </c>
      <c r="AO83" s="26">
        <v>0</v>
      </c>
      <c r="AP83" s="26">
        <v>0</v>
      </c>
      <c r="AQ83" s="26">
        <v>202.04723925196359</v>
      </c>
      <c r="AR83" s="26">
        <v>9.9848201687486089</v>
      </c>
      <c r="AS83" s="30">
        <v>20.23544098313851</v>
      </c>
      <c r="AT83" s="26">
        <v>201.65320767725024</v>
      </c>
      <c r="AU83" s="26">
        <v>0.4664160221826204</v>
      </c>
      <c r="AV83" s="26">
        <v>0</v>
      </c>
      <c r="AW83" s="26">
        <v>0</v>
      </c>
      <c r="AX83" s="26">
        <v>202.11962369943285</v>
      </c>
      <c r="AY83" s="26">
        <v>23.12532858516046</v>
      </c>
      <c r="AZ83" s="30">
        <v>8.7401838618255638</v>
      </c>
      <c r="BA83" s="26">
        <v>201.65320767725024</v>
      </c>
      <c r="BB83" s="26">
        <v>0.8604475968959765</v>
      </c>
      <c r="BC83" s="26">
        <v>0</v>
      </c>
      <c r="BD83" s="26">
        <v>0</v>
      </c>
      <c r="BE83" s="26">
        <v>202.5136552741462</v>
      </c>
      <c r="BF83" s="26">
        <v>33.110148753909066</v>
      </c>
      <c r="BG83" s="26">
        <v>5.6600626210633571</v>
      </c>
      <c r="BH83" s="30">
        <v>6.1163619885651208</v>
      </c>
      <c r="BI83" s="26">
        <v>1.7524102669982007</v>
      </c>
      <c r="BJ83" s="26">
        <v>4.0586673125251833</v>
      </c>
      <c r="BK83" s="26">
        <v>0</v>
      </c>
      <c r="BL83" s="26">
        <v>44.819207940054994</v>
      </c>
      <c r="BM83" s="26">
        <v>50.630285519578372</v>
      </c>
      <c r="BN83" s="26">
        <v>201.65320767725024</v>
      </c>
      <c r="BO83" s="26">
        <v>0</v>
      </c>
      <c r="BP83" s="26">
        <v>0.8604475968959765</v>
      </c>
      <c r="BQ83" s="26">
        <v>0</v>
      </c>
      <c r="BR83" s="26">
        <v>0</v>
      </c>
      <c r="BS83" s="26">
        <v>0</v>
      </c>
      <c r="BT83" s="26">
        <v>0</v>
      </c>
      <c r="BU83" s="26">
        <v>0</v>
      </c>
      <c r="BV83" s="26">
        <v>0</v>
      </c>
      <c r="BW83" s="26">
        <v>0</v>
      </c>
      <c r="BX83" s="26">
        <v>71.54475478239425</v>
      </c>
      <c r="BY83" s="26">
        <v>7.6979999999999995</v>
      </c>
      <c r="BZ83" s="26">
        <v>209.23666440712245</v>
      </c>
      <c r="CA83" s="26">
        <v>0</v>
      </c>
      <c r="CB83" s="26">
        <v>202.5136552741462</v>
      </c>
      <c r="CC83" s="26">
        <v>288.47941918951665</v>
      </c>
      <c r="CD83" s="115">
        <v>0.70200382350709323</v>
      </c>
      <c r="CE83" s="26">
        <v>50.479270561118348</v>
      </c>
      <c r="CF83" s="26">
        <v>3.9829426118359033</v>
      </c>
      <c r="CG83" s="26">
        <v>0</v>
      </c>
      <c r="CH83" s="26">
        <v>3.9829426118359033</v>
      </c>
      <c r="CI83" s="26">
        <v>0.19914443856005395</v>
      </c>
      <c r="CJ83" s="26">
        <v>0</v>
      </c>
      <c r="CK83" s="26">
        <v>0.19914443856005395</v>
      </c>
      <c r="CL83" s="26"/>
      <c r="CM83" s="26">
        <v>0</v>
      </c>
      <c r="CN83" s="26"/>
      <c r="CO83" s="26">
        <v>0</v>
      </c>
      <c r="CP83" s="26">
        <v>0</v>
      </c>
      <c r="CQ83" s="26">
        <v>0</v>
      </c>
      <c r="CR83" s="26">
        <v>0</v>
      </c>
      <c r="CS83" s="26">
        <v>0</v>
      </c>
      <c r="CT83" s="26">
        <v>0</v>
      </c>
      <c r="CU83" s="26">
        <v>0</v>
      </c>
      <c r="CV83" s="26">
        <v>9999</v>
      </c>
      <c r="CW83" s="30">
        <v>9999</v>
      </c>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t="s">
        <v>468</v>
      </c>
      <c r="B84" s="7"/>
      <c r="C84" s="26">
        <v>10</v>
      </c>
      <c r="D84" s="26">
        <v>254.89140103061385</v>
      </c>
      <c r="E84" s="26">
        <v>0</v>
      </c>
      <c r="F84" s="26">
        <v>38.489999999999995</v>
      </c>
      <c r="G84" s="26">
        <v>15.395999999999999</v>
      </c>
      <c r="H84" s="26">
        <v>0</v>
      </c>
      <c r="I84" s="26"/>
      <c r="J84" s="26"/>
      <c r="K84" s="26"/>
      <c r="L84" s="26">
        <v>272.53397519140287</v>
      </c>
      <c r="M84" s="26">
        <v>7.2489293788052139E-4</v>
      </c>
      <c r="N84" s="26">
        <v>7.1966098572848257E-4</v>
      </c>
      <c r="O84" s="26">
        <v>0</v>
      </c>
      <c r="P84" s="26">
        <v>0</v>
      </c>
      <c r="Q84" s="26">
        <v>0</v>
      </c>
      <c r="R84" s="26">
        <v>7.6754201687486088</v>
      </c>
      <c r="S84" s="26">
        <v>17.73672858516046</v>
      </c>
      <c r="T84" s="26">
        <v>0</v>
      </c>
      <c r="U84" s="26">
        <v>46.132606028485185</v>
      </c>
      <c r="V84" s="26">
        <v>2.3093999999999997</v>
      </c>
      <c r="W84" s="26">
        <v>5.3885999999999994</v>
      </c>
      <c r="X84" s="26">
        <v>0</v>
      </c>
      <c r="Y84" s="26">
        <v>0</v>
      </c>
      <c r="Z84" s="26">
        <v>0</v>
      </c>
      <c r="AA84" s="26">
        <v>0</v>
      </c>
      <c r="AB84" s="26">
        <v>0</v>
      </c>
      <c r="AC84" s="26">
        <v>209.23666440712245</v>
      </c>
      <c r="AD84" s="26">
        <v>0</v>
      </c>
      <c r="AE84" s="26">
        <v>0</v>
      </c>
      <c r="AF84" s="26">
        <v>0</v>
      </c>
      <c r="AG84" s="26">
        <v>0</v>
      </c>
      <c r="AH84" s="26">
        <v>9.9848201687486089</v>
      </c>
      <c r="AI84" s="26">
        <v>23.12532858516046</v>
      </c>
      <c r="AJ84" s="26">
        <v>0</v>
      </c>
      <c r="AK84" s="26">
        <v>255.36927043560763</v>
      </c>
      <c r="AL84" s="26">
        <v>288.4794191895167</v>
      </c>
      <c r="AM84" s="26">
        <v>131.08446100972898</v>
      </c>
      <c r="AN84" s="26">
        <v>0.25613982136492547</v>
      </c>
      <c r="AO84" s="26">
        <v>0</v>
      </c>
      <c r="AP84" s="26">
        <v>0</v>
      </c>
      <c r="AQ84" s="26">
        <v>131.34060083109389</v>
      </c>
      <c r="AR84" s="26">
        <v>9.9848201687486089</v>
      </c>
      <c r="AS84" s="30">
        <v>13.154027675147876</v>
      </c>
      <c r="AT84" s="26">
        <v>131.08446100972898</v>
      </c>
      <c r="AU84" s="26">
        <v>0.30319325726752749</v>
      </c>
      <c r="AV84" s="26">
        <v>0</v>
      </c>
      <c r="AW84" s="26">
        <v>0</v>
      </c>
      <c r="AX84" s="26">
        <v>131.38765426699652</v>
      </c>
      <c r="AY84" s="26">
        <v>23.12532858516046</v>
      </c>
      <c r="AZ84" s="30">
        <v>5.6815475630174648</v>
      </c>
      <c r="BA84" s="26">
        <v>131.08446100972898</v>
      </c>
      <c r="BB84" s="26">
        <v>0.55933307863245296</v>
      </c>
      <c r="BC84" s="26">
        <v>0</v>
      </c>
      <c r="BD84" s="26">
        <v>0</v>
      </c>
      <c r="BE84" s="26">
        <v>131.64379408836143</v>
      </c>
      <c r="BF84" s="26">
        <v>33.110148753909066</v>
      </c>
      <c r="BG84" s="26">
        <v>8.7884308381341878</v>
      </c>
      <c r="BH84" s="30">
        <v>3.9759348430235986</v>
      </c>
      <c r="BI84" s="26">
        <v>2.695812675161442</v>
      </c>
      <c r="BJ84" s="26">
        <v>6.2436331214327732</v>
      </c>
      <c r="BK84" s="26">
        <v>0</v>
      </c>
      <c r="BL84" s="26">
        <v>68.947432647985423</v>
      </c>
      <c r="BM84" s="26">
        <v>77.886878444579636</v>
      </c>
      <c r="BN84" s="26">
        <v>131.08446100972898</v>
      </c>
      <c r="BO84" s="26">
        <v>0</v>
      </c>
      <c r="BP84" s="26">
        <v>0.55933307863245296</v>
      </c>
      <c r="BQ84" s="26">
        <v>0</v>
      </c>
      <c r="BR84" s="26">
        <v>0</v>
      </c>
      <c r="BS84" s="26">
        <v>0</v>
      </c>
      <c r="BT84" s="26">
        <v>0</v>
      </c>
      <c r="BU84" s="26">
        <v>0</v>
      </c>
      <c r="BV84" s="26">
        <v>0</v>
      </c>
      <c r="BW84" s="26">
        <v>0</v>
      </c>
      <c r="BX84" s="26">
        <v>71.54475478239425</v>
      </c>
      <c r="BY84" s="26">
        <v>7.6979999999999995</v>
      </c>
      <c r="BZ84" s="26">
        <v>209.23666440712245</v>
      </c>
      <c r="CA84" s="26">
        <v>0</v>
      </c>
      <c r="CB84" s="26">
        <v>131.64379408836143</v>
      </c>
      <c r="CC84" s="26">
        <v>288.47941918951665</v>
      </c>
      <c r="CD84" s="115">
        <v>0.45633686610370633</v>
      </c>
      <c r="CE84" s="26">
        <v>77.735863486119598</v>
      </c>
      <c r="CF84" s="26">
        <v>2.5891077633678172</v>
      </c>
      <c r="CG84" s="26">
        <v>0</v>
      </c>
      <c r="CH84" s="26">
        <v>2.5891077633678172</v>
      </c>
      <c r="CI84" s="26">
        <v>0.12945363821591635</v>
      </c>
      <c r="CJ84" s="26">
        <v>0</v>
      </c>
      <c r="CK84" s="26">
        <v>0.12945363821591635</v>
      </c>
      <c r="CL84" s="26"/>
      <c r="CM84" s="26">
        <v>0</v>
      </c>
      <c r="CN84" s="26"/>
      <c r="CO84" s="26">
        <v>0</v>
      </c>
      <c r="CP84" s="26">
        <v>0</v>
      </c>
      <c r="CQ84" s="26">
        <v>0</v>
      </c>
      <c r="CR84" s="26">
        <v>0</v>
      </c>
      <c r="CS84" s="26">
        <v>0</v>
      </c>
      <c r="CT84" s="26">
        <v>0</v>
      </c>
      <c r="CU84" s="26">
        <v>0</v>
      </c>
      <c r="CV84" s="26">
        <v>9999</v>
      </c>
      <c r="CW84" s="30">
        <v>9999</v>
      </c>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t="s">
        <v>471</v>
      </c>
      <c r="B85" s="7"/>
      <c r="C85" s="26">
        <v>10</v>
      </c>
      <c r="D85" s="26">
        <v>254.89140103061385</v>
      </c>
      <c r="E85" s="26">
        <v>0</v>
      </c>
      <c r="F85" s="26">
        <v>166.79</v>
      </c>
      <c r="G85" s="26">
        <v>4.8112499999999994</v>
      </c>
      <c r="H85" s="26">
        <v>0</v>
      </c>
      <c r="I85" s="26"/>
      <c r="J85" s="26"/>
      <c r="K85" s="26"/>
      <c r="L85" s="26">
        <v>272.53397519140287</v>
      </c>
      <c r="M85" s="26">
        <v>7.2489293788052139E-4</v>
      </c>
      <c r="N85" s="26">
        <v>7.1966098572848257E-4</v>
      </c>
      <c r="O85" s="26">
        <v>0</v>
      </c>
      <c r="P85" s="26">
        <v>0</v>
      </c>
      <c r="Q85" s="26">
        <v>0</v>
      </c>
      <c r="R85" s="26">
        <v>33.260154064577307</v>
      </c>
      <c r="S85" s="26">
        <v>76.859157202362013</v>
      </c>
      <c r="T85" s="26">
        <v>0</v>
      </c>
      <c r="U85" s="26">
        <v>199.90795945676916</v>
      </c>
      <c r="V85" s="26">
        <v>10.007400000000001</v>
      </c>
      <c r="W85" s="26">
        <v>23.3506</v>
      </c>
      <c r="X85" s="26">
        <v>0</v>
      </c>
      <c r="Y85" s="26">
        <v>0</v>
      </c>
      <c r="Z85" s="26">
        <v>0</v>
      </c>
      <c r="AA85" s="26">
        <v>0</v>
      </c>
      <c r="AB85" s="26">
        <v>0</v>
      </c>
      <c r="AC85" s="26">
        <v>65.386457627225766</v>
      </c>
      <c r="AD85" s="26">
        <v>0</v>
      </c>
      <c r="AE85" s="26">
        <v>0</v>
      </c>
      <c r="AF85" s="26">
        <v>0</v>
      </c>
      <c r="AG85" s="26">
        <v>0</v>
      </c>
      <c r="AH85" s="26">
        <v>43.267554064577311</v>
      </c>
      <c r="AI85" s="26">
        <v>100.20975720236201</v>
      </c>
      <c r="AJ85" s="26">
        <v>0</v>
      </c>
      <c r="AK85" s="26">
        <v>265.29441708399492</v>
      </c>
      <c r="AL85" s="26">
        <v>408.77172835093427</v>
      </c>
      <c r="AM85" s="26">
        <v>131.08446100972898</v>
      </c>
      <c r="AN85" s="26">
        <v>0.25613982136492547</v>
      </c>
      <c r="AO85" s="26">
        <v>0</v>
      </c>
      <c r="AP85" s="26">
        <v>0</v>
      </c>
      <c r="AQ85" s="26">
        <v>131.34060083109389</v>
      </c>
      <c r="AR85" s="26">
        <v>43.267554064577311</v>
      </c>
      <c r="AS85" s="30">
        <v>3.0355448481110479</v>
      </c>
      <c r="AT85" s="26">
        <v>131.08446100972898</v>
      </c>
      <c r="AU85" s="26">
        <v>0.30319325726752749</v>
      </c>
      <c r="AV85" s="26">
        <v>0</v>
      </c>
      <c r="AW85" s="26">
        <v>0</v>
      </c>
      <c r="AX85" s="26">
        <v>131.38765426699652</v>
      </c>
      <c r="AY85" s="26">
        <v>100.20975720236201</v>
      </c>
      <c r="AZ85" s="30">
        <v>1.3111263606963377</v>
      </c>
      <c r="BA85" s="26">
        <v>131.08446100972898</v>
      </c>
      <c r="BB85" s="26">
        <v>0.55933307863245296</v>
      </c>
      <c r="BC85" s="26">
        <v>0</v>
      </c>
      <c r="BD85" s="26">
        <v>0</v>
      </c>
      <c r="BE85" s="26">
        <v>131.64379408836143</v>
      </c>
      <c r="BF85" s="26">
        <v>143.47731126693932</v>
      </c>
      <c r="BG85" s="26">
        <v>38.586583493448245</v>
      </c>
      <c r="BH85" s="115">
        <v>0.9175234253131378</v>
      </c>
      <c r="BI85" s="26">
        <v>11.681854925699584</v>
      </c>
      <c r="BJ85" s="26">
        <v>27.05574352620869</v>
      </c>
      <c r="BK85" s="26">
        <v>0</v>
      </c>
      <c r="BL85" s="26">
        <v>71.627134003178867</v>
      </c>
      <c r="BM85" s="26">
        <v>110.36473245508715</v>
      </c>
      <c r="BN85" s="26">
        <v>131.08446100972898</v>
      </c>
      <c r="BO85" s="26">
        <v>0</v>
      </c>
      <c r="BP85" s="26">
        <v>0.55933307863245296</v>
      </c>
      <c r="BQ85" s="26">
        <v>0</v>
      </c>
      <c r="BR85" s="26">
        <v>0</v>
      </c>
      <c r="BS85" s="26">
        <v>0</v>
      </c>
      <c r="BT85" s="26">
        <v>0</v>
      </c>
      <c r="BU85" s="26">
        <v>0</v>
      </c>
      <c r="BV85" s="26">
        <v>0</v>
      </c>
      <c r="BW85" s="26">
        <v>0</v>
      </c>
      <c r="BX85" s="26">
        <v>310.02727072370851</v>
      </c>
      <c r="BY85" s="26">
        <v>33.357999999999997</v>
      </c>
      <c r="BZ85" s="26">
        <v>65.386457627225766</v>
      </c>
      <c r="CA85" s="26">
        <v>0</v>
      </c>
      <c r="CB85" s="26">
        <v>131.64379408836143</v>
      </c>
      <c r="CC85" s="26">
        <v>408.77172835093427</v>
      </c>
      <c r="CD85" s="115">
        <v>0.32204720864487973</v>
      </c>
      <c r="CE85" s="26">
        <v>110.21371749662713</v>
      </c>
      <c r="CF85" s="26">
        <v>2.5891077633678172</v>
      </c>
      <c r="CG85" s="26">
        <v>0</v>
      </c>
      <c r="CH85" s="26">
        <v>2.5891077633678172</v>
      </c>
      <c r="CI85" s="26">
        <v>0.12945363821591635</v>
      </c>
      <c r="CJ85" s="26">
        <v>0</v>
      </c>
      <c r="CK85" s="26">
        <v>0.12945363821591635</v>
      </c>
      <c r="CL85" s="26"/>
      <c r="CM85" s="26">
        <v>0</v>
      </c>
      <c r="CN85" s="26"/>
      <c r="CO85" s="26">
        <v>0</v>
      </c>
      <c r="CP85" s="26">
        <v>0</v>
      </c>
      <c r="CQ85" s="26">
        <v>0</v>
      </c>
      <c r="CR85" s="26">
        <v>0</v>
      </c>
      <c r="CS85" s="26">
        <v>0</v>
      </c>
      <c r="CT85" s="26">
        <v>0</v>
      </c>
      <c r="CU85" s="26">
        <v>0</v>
      </c>
      <c r="CV85" s="26">
        <v>9999</v>
      </c>
      <c r="CW85" s="30">
        <v>9999</v>
      </c>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t="s">
        <v>470</v>
      </c>
      <c r="B86" s="7"/>
      <c r="C86" s="26">
        <v>10</v>
      </c>
      <c r="D86" s="26">
        <v>189.70378431349377</v>
      </c>
      <c r="E86" s="26">
        <v>0</v>
      </c>
      <c r="F86" s="26">
        <v>64.150000000000006</v>
      </c>
      <c r="G86" s="26">
        <v>15.395999999999999</v>
      </c>
      <c r="H86" s="26">
        <v>0</v>
      </c>
      <c r="I86" s="26"/>
      <c r="J86" s="26"/>
      <c r="K86" s="26"/>
      <c r="L86" s="26">
        <v>202.83432959591843</v>
      </c>
      <c r="M86" s="26">
        <v>5.3950401222654422E-4</v>
      </c>
      <c r="N86" s="26">
        <v>5.3561011420340265E-4</v>
      </c>
      <c r="O86" s="26">
        <v>0</v>
      </c>
      <c r="P86" s="26">
        <v>0</v>
      </c>
      <c r="Q86" s="26">
        <v>0</v>
      </c>
      <c r="R86" s="26">
        <v>12.792366947914351</v>
      </c>
      <c r="S86" s="26">
        <v>29.561214308600775</v>
      </c>
      <c r="T86" s="26">
        <v>0</v>
      </c>
      <c r="U86" s="26">
        <v>76.887676714142003</v>
      </c>
      <c r="V86" s="26">
        <v>3.8490000000000002</v>
      </c>
      <c r="W86" s="26">
        <v>8.9809999999999999</v>
      </c>
      <c r="X86" s="26">
        <v>0</v>
      </c>
      <c r="Y86" s="26">
        <v>0</v>
      </c>
      <c r="Z86" s="26">
        <v>0</v>
      </c>
      <c r="AA86" s="26">
        <v>0</v>
      </c>
      <c r="AB86" s="26">
        <v>0</v>
      </c>
      <c r="AC86" s="26">
        <v>209.23666440712245</v>
      </c>
      <c r="AD86" s="26">
        <v>0</v>
      </c>
      <c r="AE86" s="26">
        <v>0</v>
      </c>
      <c r="AF86" s="26">
        <v>0</v>
      </c>
      <c r="AG86" s="26">
        <v>0</v>
      </c>
      <c r="AH86" s="26">
        <v>16.641366947914349</v>
      </c>
      <c r="AI86" s="26">
        <v>38.542214308600776</v>
      </c>
      <c r="AJ86" s="26">
        <v>0</v>
      </c>
      <c r="AK86" s="26">
        <v>286.12434112126448</v>
      </c>
      <c r="AL86" s="26">
        <v>341.30792237777956</v>
      </c>
      <c r="AM86" s="26">
        <v>97.560051918948517</v>
      </c>
      <c r="AN86" s="26">
        <v>0.19063292535503246</v>
      </c>
      <c r="AO86" s="26">
        <v>0</v>
      </c>
      <c r="AP86" s="26">
        <v>0</v>
      </c>
      <c r="AQ86" s="26">
        <v>97.750684844303549</v>
      </c>
      <c r="AR86" s="26">
        <v>16.641366947914349</v>
      </c>
      <c r="AS86" s="30">
        <v>5.8739576592627554</v>
      </c>
      <c r="AT86" s="26">
        <v>97.560051918948517</v>
      </c>
      <c r="AU86" s="26">
        <v>0.2256526036163792</v>
      </c>
      <c r="AV86" s="26">
        <v>0</v>
      </c>
      <c r="AW86" s="26">
        <v>0</v>
      </c>
      <c r="AX86" s="26">
        <v>97.785704522564899</v>
      </c>
      <c r="AY86" s="26">
        <v>38.542214308600776</v>
      </c>
      <c r="AZ86" s="30">
        <v>2.5371065538583708</v>
      </c>
      <c r="BA86" s="26">
        <v>97.560051918948517</v>
      </c>
      <c r="BB86" s="26">
        <v>0.41628552897141169</v>
      </c>
      <c r="BC86" s="26">
        <v>0</v>
      </c>
      <c r="BD86" s="26">
        <v>0</v>
      </c>
      <c r="BE86" s="26">
        <v>97.976337447919931</v>
      </c>
      <c r="BF86" s="26">
        <v>55.183581256515126</v>
      </c>
      <c r="BG86" s="26">
        <v>19.867807823392212</v>
      </c>
      <c r="BH86" s="30">
        <v>1.7754617445447611</v>
      </c>
      <c r="BI86" s="26">
        <v>6.0369509950704625</v>
      </c>
      <c r="BJ86" s="26">
        <v>13.981871786781781</v>
      </c>
      <c r="BK86" s="26">
        <v>0</v>
      </c>
      <c r="BL86" s="26">
        <v>103.79667915816144</v>
      </c>
      <c r="BM86" s="26">
        <v>123.81550194001366</v>
      </c>
      <c r="BN86" s="26">
        <v>97.560051918948517</v>
      </c>
      <c r="BO86" s="26">
        <v>0</v>
      </c>
      <c r="BP86" s="26">
        <v>0.41628552897141169</v>
      </c>
      <c r="BQ86" s="26">
        <v>0</v>
      </c>
      <c r="BR86" s="26">
        <v>0</v>
      </c>
      <c r="BS86" s="26">
        <v>0</v>
      </c>
      <c r="BT86" s="26">
        <v>0</v>
      </c>
      <c r="BU86" s="26">
        <v>0</v>
      </c>
      <c r="BV86" s="26">
        <v>0</v>
      </c>
      <c r="BW86" s="26">
        <v>0</v>
      </c>
      <c r="BX86" s="26">
        <v>119.24125797065713</v>
      </c>
      <c r="BY86" s="26">
        <v>12.830000000000002</v>
      </c>
      <c r="BZ86" s="26">
        <v>209.23666440712245</v>
      </c>
      <c r="CA86" s="26">
        <v>0</v>
      </c>
      <c r="CB86" s="26">
        <v>97.976337447919931</v>
      </c>
      <c r="CC86" s="26">
        <v>341.30792237777956</v>
      </c>
      <c r="CD86" s="115">
        <v>0.28706142173715499</v>
      </c>
      <c r="CE86" s="26">
        <v>123.66448698155362</v>
      </c>
      <c r="CF86" s="26">
        <v>1.9269521793217717</v>
      </c>
      <c r="CG86" s="26">
        <v>0</v>
      </c>
      <c r="CH86" s="26">
        <v>1.9269521793217717</v>
      </c>
      <c r="CI86" s="26">
        <v>9.6346306558061229E-2</v>
      </c>
      <c r="CJ86" s="26">
        <v>0</v>
      </c>
      <c r="CK86" s="26">
        <v>9.6346306558061229E-2</v>
      </c>
      <c r="CL86" s="26"/>
      <c r="CM86" s="26">
        <v>0</v>
      </c>
      <c r="CN86" s="26"/>
      <c r="CO86" s="26">
        <v>0</v>
      </c>
      <c r="CP86" s="26">
        <v>0</v>
      </c>
      <c r="CQ86" s="26">
        <v>0</v>
      </c>
      <c r="CR86" s="26">
        <v>0</v>
      </c>
      <c r="CS86" s="26">
        <v>0</v>
      </c>
      <c r="CT86" s="26">
        <v>0</v>
      </c>
      <c r="CU86" s="26">
        <v>0</v>
      </c>
      <c r="CV86" s="26">
        <v>9999</v>
      </c>
      <c r="CW86" s="30">
        <v>9999</v>
      </c>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t="s">
        <v>472</v>
      </c>
      <c r="B87" s="7"/>
      <c r="C87" s="26">
        <v>10</v>
      </c>
      <c r="D87" s="26">
        <v>189.70378431349377</v>
      </c>
      <c r="E87" s="26">
        <v>0</v>
      </c>
      <c r="F87" s="26">
        <v>166.79</v>
      </c>
      <c r="G87" s="26">
        <v>4.8112499999999994</v>
      </c>
      <c r="H87" s="26">
        <v>0</v>
      </c>
      <c r="I87" s="26"/>
      <c r="J87" s="26"/>
      <c r="K87" s="26"/>
      <c r="L87" s="26">
        <v>202.83432959591843</v>
      </c>
      <c r="M87" s="26">
        <v>5.3950401222654422E-4</v>
      </c>
      <c r="N87" s="26">
        <v>5.3561011420340265E-4</v>
      </c>
      <c r="O87" s="26">
        <v>0</v>
      </c>
      <c r="P87" s="26">
        <v>0</v>
      </c>
      <c r="Q87" s="26">
        <v>0</v>
      </c>
      <c r="R87" s="26">
        <v>33.260154064577307</v>
      </c>
      <c r="S87" s="26">
        <v>76.859157202362013</v>
      </c>
      <c r="T87" s="26">
        <v>0</v>
      </c>
      <c r="U87" s="26">
        <v>199.90795945676916</v>
      </c>
      <c r="V87" s="26">
        <v>10.007400000000001</v>
      </c>
      <c r="W87" s="26">
        <v>23.3506</v>
      </c>
      <c r="X87" s="26">
        <v>0</v>
      </c>
      <c r="Y87" s="26">
        <v>0</v>
      </c>
      <c r="Z87" s="26">
        <v>0</v>
      </c>
      <c r="AA87" s="26">
        <v>0</v>
      </c>
      <c r="AB87" s="26">
        <v>0</v>
      </c>
      <c r="AC87" s="26">
        <v>65.386457627225766</v>
      </c>
      <c r="AD87" s="26">
        <v>0</v>
      </c>
      <c r="AE87" s="26">
        <v>0</v>
      </c>
      <c r="AF87" s="26">
        <v>0</v>
      </c>
      <c r="AG87" s="26">
        <v>0</v>
      </c>
      <c r="AH87" s="26">
        <v>43.267554064577311</v>
      </c>
      <c r="AI87" s="26">
        <v>100.20975720236201</v>
      </c>
      <c r="AJ87" s="26">
        <v>0</v>
      </c>
      <c r="AK87" s="26">
        <v>265.29441708399492</v>
      </c>
      <c r="AL87" s="26">
        <v>408.77172835093427</v>
      </c>
      <c r="AM87" s="26">
        <v>97.560051918948517</v>
      </c>
      <c r="AN87" s="26">
        <v>0.19063292535503246</v>
      </c>
      <c r="AO87" s="26">
        <v>0</v>
      </c>
      <c r="AP87" s="26">
        <v>0</v>
      </c>
      <c r="AQ87" s="26">
        <v>97.750684844303549</v>
      </c>
      <c r="AR87" s="26">
        <v>43.267554064577311</v>
      </c>
      <c r="AS87" s="30">
        <v>2.2592144843318289</v>
      </c>
      <c r="AT87" s="26">
        <v>97.560051918948517</v>
      </c>
      <c r="AU87" s="26">
        <v>0.2256526036163792</v>
      </c>
      <c r="AV87" s="26">
        <v>0</v>
      </c>
      <c r="AW87" s="26">
        <v>0</v>
      </c>
      <c r="AX87" s="26">
        <v>97.785704522564899</v>
      </c>
      <c r="AY87" s="26">
        <v>100.20975720236201</v>
      </c>
      <c r="AZ87" s="115">
        <v>0.9758102130224503</v>
      </c>
      <c r="BA87" s="26">
        <v>97.560051918948517</v>
      </c>
      <c r="BB87" s="26">
        <v>0.41628552897141169</v>
      </c>
      <c r="BC87" s="26">
        <v>0</v>
      </c>
      <c r="BD87" s="26">
        <v>0</v>
      </c>
      <c r="BE87" s="26">
        <v>97.976337447919931</v>
      </c>
      <c r="BF87" s="26">
        <v>143.47731126693932</v>
      </c>
      <c r="BG87" s="26">
        <v>51.897924274355788</v>
      </c>
      <c r="BH87" s="115">
        <v>0.68286990174798512</v>
      </c>
      <c r="BI87" s="26">
        <v>15.696072587183203</v>
      </c>
      <c r="BJ87" s="26">
        <v>36.352866645632623</v>
      </c>
      <c r="BK87" s="26">
        <v>0</v>
      </c>
      <c r="BL87" s="26">
        <v>96.240254794849335</v>
      </c>
      <c r="BM87" s="26">
        <v>148.28919402766519</v>
      </c>
      <c r="BN87" s="26">
        <v>97.560051918948517</v>
      </c>
      <c r="BO87" s="26">
        <v>0</v>
      </c>
      <c r="BP87" s="26">
        <v>0.41628552897141169</v>
      </c>
      <c r="BQ87" s="26">
        <v>0</v>
      </c>
      <c r="BR87" s="26">
        <v>0</v>
      </c>
      <c r="BS87" s="26">
        <v>0</v>
      </c>
      <c r="BT87" s="26">
        <v>0</v>
      </c>
      <c r="BU87" s="26">
        <v>0</v>
      </c>
      <c r="BV87" s="26">
        <v>0</v>
      </c>
      <c r="BW87" s="26">
        <v>0</v>
      </c>
      <c r="BX87" s="26">
        <v>310.02727072370851</v>
      </c>
      <c r="BY87" s="26">
        <v>33.357999999999997</v>
      </c>
      <c r="BZ87" s="26">
        <v>65.386457627225766</v>
      </c>
      <c r="CA87" s="26">
        <v>0</v>
      </c>
      <c r="CB87" s="26">
        <v>97.976337447919931</v>
      </c>
      <c r="CC87" s="26">
        <v>408.77172835093427</v>
      </c>
      <c r="CD87" s="115">
        <v>0.23968472047510669</v>
      </c>
      <c r="CE87" s="26">
        <v>148.13817906920514</v>
      </c>
      <c r="CF87" s="26">
        <v>1.9269521793217717</v>
      </c>
      <c r="CG87" s="26">
        <v>0</v>
      </c>
      <c r="CH87" s="26">
        <v>1.9269521793217717</v>
      </c>
      <c r="CI87" s="26">
        <v>9.6346306558061229E-2</v>
      </c>
      <c r="CJ87" s="26">
        <v>0</v>
      </c>
      <c r="CK87" s="26">
        <v>9.6346306558061229E-2</v>
      </c>
      <c r="CL87" s="26"/>
      <c r="CM87" s="26">
        <v>0</v>
      </c>
      <c r="CN87" s="26"/>
      <c r="CO87" s="26">
        <v>0</v>
      </c>
      <c r="CP87" s="26">
        <v>0</v>
      </c>
      <c r="CQ87" s="26">
        <v>0</v>
      </c>
      <c r="CR87" s="26">
        <v>0</v>
      </c>
      <c r="CS87" s="26">
        <v>0</v>
      </c>
      <c r="CT87" s="26">
        <v>0</v>
      </c>
      <c r="CU87" s="26">
        <v>0</v>
      </c>
      <c r="CV87" s="26">
        <v>9999</v>
      </c>
      <c r="CW87" s="30">
        <v>9999</v>
      </c>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t="s">
        <v>459</v>
      </c>
      <c r="B88" s="7"/>
      <c r="C88" s="26">
        <v>10</v>
      </c>
      <c r="D88" s="26">
        <v>241.03672164516954</v>
      </c>
      <c r="E88" s="26">
        <v>0</v>
      </c>
      <c r="F88" s="26">
        <v>341.97227304501308</v>
      </c>
      <c r="G88" s="26">
        <v>0</v>
      </c>
      <c r="H88" s="26">
        <v>12.047572879472018</v>
      </c>
      <c r="I88" s="26"/>
      <c r="J88" s="26"/>
      <c r="K88" s="26"/>
      <c r="L88" s="26">
        <v>257.72032972258603</v>
      </c>
      <c r="M88" s="26">
        <v>6.8549121933489973E-4</v>
      </c>
      <c r="N88" s="26">
        <v>6.8054365111787558E-4</v>
      </c>
      <c r="O88" s="26">
        <v>0</v>
      </c>
      <c r="P88" s="26">
        <v>0</v>
      </c>
      <c r="Q88" s="26">
        <v>0</v>
      </c>
      <c r="R88" s="26">
        <v>68.19383948252792</v>
      </c>
      <c r="S88" s="26">
        <v>157.58559081968778</v>
      </c>
      <c r="T88" s="26">
        <v>0</v>
      </c>
      <c r="U88" s="26">
        <v>409.87456859057306</v>
      </c>
      <c r="V88" s="26">
        <v>20.518336382700785</v>
      </c>
      <c r="W88" s="26">
        <v>47.876118226301834</v>
      </c>
      <c r="X88" s="26">
        <v>0</v>
      </c>
      <c r="Y88" s="26">
        <v>0</v>
      </c>
      <c r="Z88" s="26">
        <v>0</v>
      </c>
      <c r="AA88" s="26">
        <v>0</v>
      </c>
      <c r="AB88" s="26">
        <v>0</v>
      </c>
      <c r="AC88" s="26">
        <v>0</v>
      </c>
      <c r="AD88" s="26">
        <v>0</v>
      </c>
      <c r="AE88" s="26">
        <v>0</v>
      </c>
      <c r="AF88" s="26">
        <v>0</v>
      </c>
      <c r="AG88" s="26">
        <v>12.047572879472018</v>
      </c>
      <c r="AH88" s="26">
        <v>88.712175865228701</v>
      </c>
      <c r="AI88" s="26">
        <v>205.46170904598961</v>
      </c>
      <c r="AJ88" s="26">
        <v>0</v>
      </c>
      <c r="AK88" s="26">
        <v>421.92214147004506</v>
      </c>
      <c r="AL88" s="26">
        <v>716.09602638126341</v>
      </c>
      <c r="AM88" s="26">
        <v>123.95933567258415</v>
      </c>
      <c r="AN88" s="26">
        <v>0.24221728381164886</v>
      </c>
      <c r="AO88" s="26">
        <v>0</v>
      </c>
      <c r="AP88" s="26">
        <v>0</v>
      </c>
      <c r="AQ88" s="26">
        <v>124.2015529563958</v>
      </c>
      <c r="AR88" s="26">
        <v>88.712175865228701</v>
      </c>
      <c r="AS88" s="30">
        <v>1.4000508018773259</v>
      </c>
      <c r="AT88" s="26">
        <v>123.95933567258415</v>
      </c>
      <c r="AU88" s="26">
        <v>0.28671311963132051</v>
      </c>
      <c r="AV88" s="26">
        <v>0</v>
      </c>
      <c r="AW88" s="26">
        <v>0</v>
      </c>
      <c r="AX88" s="26">
        <v>124.24604879221546</v>
      </c>
      <c r="AY88" s="26">
        <v>205.46170904598961</v>
      </c>
      <c r="AZ88" s="115">
        <v>0.60471632095888384</v>
      </c>
      <c r="BA88" s="26">
        <v>123.95933567258415</v>
      </c>
      <c r="BB88" s="26">
        <v>0.52893040344296938</v>
      </c>
      <c r="BC88" s="26">
        <v>0</v>
      </c>
      <c r="BD88" s="26">
        <v>0</v>
      </c>
      <c r="BE88" s="26">
        <v>124.48826607602712</v>
      </c>
      <c r="BF88" s="26">
        <v>294.17388491121835</v>
      </c>
      <c r="BG88" s="26">
        <v>83.838592598072097</v>
      </c>
      <c r="BH88" s="115">
        <v>0.42317918911666025</v>
      </c>
      <c r="BI88" s="26">
        <v>25.328219867835312</v>
      </c>
      <c r="BJ88" s="26">
        <v>58.661387688696806</v>
      </c>
      <c r="BK88" s="26">
        <v>0</v>
      </c>
      <c r="BL88" s="26">
        <v>120.46302169948098</v>
      </c>
      <c r="BM88" s="26">
        <v>204.4526292560131</v>
      </c>
      <c r="BN88" s="26">
        <v>123.95933567258415</v>
      </c>
      <c r="BO88" s="26">
        <v>0</v>
      </c>
      <c r="BP88" s="26">
        <v>0.52893040344296938</v>
      </c>
      <c r="BQ88" s="26">
        <v>0</v>
      </c>
      <c r="BR88" s="26">
        <v>0</v>
      </c>
      <c r="BS88" s="26">
        <v>0</v>
      </c>
      <c r="BT88" s="26">
        <v>0</v>
      </c>
      <c r="BU88" s="26">
        <v>0</v>
      </c>
      <c r="BV88" s="26">
        <v>0</v>
      </c>
      <c r="BW88" s="26">
        <v>0</v>
      </c>
      <c r="BX88" s="26">
        <v>635.65399889278876</v>
      </c>
      <c r="BY88" s="26">
        <v>68.394454609002622</v>
      </c>
      <c r="BZ88" s="26">
        <v>0</v>
      </c>
      <c r="CA88" s="26">
        <v>12.047572879472018</v>
      </c>
      <c r="CB88" s="26">
        <v>124.48826607602712</v>
      </c>
      <c r="CC88" s="26">
        <v>716.09602638126341</v>
      </c>
      <c r="CD88" s="115">
        <v>0.17384297844120022</v>
      </c>
      <c r="CE88" s="26">
        <v>204.30161429755307</v>
      </c>
      <c r="CF88" s="26">
        <v>2.448376229032859</v>
      </c>
      <c r="CG88" s="26">
        <v>0</v>
      </c>
      <c r="CH88" s="26">
        <v>2.448376229032859</v>
      </c>
      <c r="CI88" s="26">
        <v>0.12241715661822837</v>
      </c>
      <c r="CJ88" s="26">
        <v>0</v>
      </c>
      <c r="CK88" s="26">
        <v>0.12241715661822837</v>
      </c>
      <c r="CL88" s="26"/>
      <c r="CM88" s="26">
        <v>0</v>
      </c>
      <c r="CN88" s="26"/>
      <c r="CO88" s="26">
        <v>0</v>
      </c>
      <c r="CP88" s="26">
        <v>0</v>
      </c>
      <c r="CQ88" s="26">
        <v>0</v>
      </c>
      <c r="CR88" s="26">
        <v>0</v>
      </c>
      <c r="CS88" s="26">
        <v>0</v>
      </c>
      <c r="CT88" s="26">
        <v>0</v>
      </c>
      <c r="CU88" s="26">
        <v>0</v>
      </c>
      <c r="CV88" s="26">
        <v>9999</v>
      </c>
      <c r="CW88" s="30">
        <v>9999</v>
      </c>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ht="13.5" thickBot="1">
      <c r="A91" s="24" t="s">
        <v>328</v>
      </c>
      <c r="B91" s="25"/>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ht="13.5" thickBot="1">
      <c r="A92" s="116" t="s">
        <v>329</v>
      </c>
      <c r="B92" s="117"/>
      <c r="C92" s="118"/>
      <c r="D92" s="118"/>
      <c r="E92" s="118"/>
      <c r="F92" s="118"/>
      <c r="G92" s="118"/>
      <c r="H92" s="118"/>
      <c r="I92" s="118"/>
      <c r="J92" s="118"/>
      <c r="K92" s="118"/>
      <c r="L92" s="31"/>
      <c r="M92" s="119"/>
      <c r="N92" s="120" t="s">
        <v>642</v>
      </c>
      <c r="O92" s="118"/>
      <c r="P92" s="118"/>
      <c r="Q92" s="118"/>
      <c r="R92" s="118"/>
      <c r="S92" s="118"/>
      <c r="T92" s="118"/>
      <c r="U92" s="118"/>
      <c r="V92" s="118"/>
      <c r="W92" s="118"/>
      <c r="X92" s="118"/>
      <c r="Y92" s="31"/>
      <c r="Z92" s="119"/>
      <c r="AA92" s="120" t="s">
        <v>643</v>
      </c>
      <c r="AB92" s="118"/>
      <c r="AC92" s="118"/>
      <c r="AD92" s="118"/>
      <c r="AE92" s="118"/>
      <c r="AF92" s="118"/>
      <c r="AG92" s="118"/>
      <c r="AH92" s="118"/>
      <c r="AI92" s="118"/>
      <c r="AJ92" s="118"/>
      <c r="AK92" s="118"/>
      <c r="AL92" s="31"/>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ht="204">
      <c r="A93" s="27"/>
      <c r="B93" s="28" t="s">
        <v>330</v>
      </c>
      <c r="C93" s="29" t="s">
        <v>331</v>
      </c>
      <c r="D93" s="29" t="s">
        <v>332</v>
      </c>
      <c r="E93" s="29" t="s">
        <v>333</v>
      </c>
      <c r="F93" s="29" t="s">
        <v>334</v>
      </c>
      <c r="G93" s="29" t="s">
        <v>335</v>
      </c>
      <c r="H93" s="29" t="s">
        <v>336</v>
      </c>
      <c r="I93" s="29" t="s">
        <v>337</v>
      </c>
      <c r="J93" s="29" t="s">
        <v>338</v>
      </c>
      <c r="K93" s="29" t="s">
        <v>21</v>
      </c>
      <c r="L93" s="29" t="s">
        <v>308</v>
      </c>
      <c r="M93" s="29" t="s">
        <v>339</v>
      </c>
      <c r="N93" s="29" t="s">
        <v>340</v>
      </c>
      <c r="O93" s="29" t="s">
        <v>341</v>
      </c>
      <c r="P93" s="29" t="s">
        <v>342</v>
      </c>
      <c r="Q93" s="29" t="s">
        <v>343</v>
      </c>
      <c r="R93" s="29" t="s">
        <v>344</v>
      </c>
      <c r="S93" s="29" t="s">
        <v>345</v>
      </c>
      <c r="T93" s="29" t="s">
        <v>346</v>
      </c>
      <c r="U93" s="29" t="s">
        <v>347</v>
      </c>
      <c r="V93" s="29" t="s">
        <v>348</v>
      </c>
      <c r="W93" s="29" t="s">
        <v>349</v>
      </c>
      <c r="X93" s="29" t="s">
        <v>350</v>
      </c>
      <c r="Y93" s="29" t="s">
        <v>351</v>
      </c>
      <c r="Z93" s="29"/>
      <c r="AA93" s="29" t="s">
        <v>340</v>
      </c>
      <c r="AB93" s="29" t="s">
        <v>341</v>
      </c>
      <c r="AC93" s="29" t="s">
        <v>342</v>
      </c>
      <c r="AD93" s="29" t="s">
        <v>343</v>
      </c>
      <c r="AE93" s="29" t="s">
        <v>344</v>
      </c>
      <c r="AF93" s="29" t="s">
        <v>345</v>
      </c>
      <c r="AG93" s="29" t="s">
        <v>346</v>
      </c>
      <c r="AH93" s="29" t="s">
        <v>347</v>
      </c>
      <c r="AI93" s="29" t="s">
        <v>348</v>
      </c>
      <c r="AJ93" s="29" t="s">
        <v>349</v>
      </c>
      <c r="AK93" s="29" t="s">
        <v>350</v>
      </c>
      <c r="AL93" s="29" t="s">
        <v>351</v>
      </c>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38" t="s">
        <v>352</v>
      </c>
      <c r="C94" s="121">
        <v>3303.4399786621234</v>
      </c>
      <c r="D94" s="121">
        <v>362.85004296566234</v>
      </c>
      <c r="E94" s="121">
        <v>0</v>
      </c>
      <c r="F94" s="121">
        <v>362.85004296566234</v>
      </c>
      <c r="G94" s="121">
        <v>760.88099719407592</v>
      </c>
      <c r="H94" s="121">
        <v>1595.6813165361868</v>
      </c>
      <c r="I94" s="121">
        <v>962.19891897854473</v>
      </c>
      <c r="J94" s="121">
        <v>5.1850898443173543</v>
      </c>
      <c r="K94" s="121">
        <v>16.797062175366712</v>
      </c>
      <c r="L94" s="30">
        <v>2.4542140896239402</v>
      </c>
      <c r="M94" s="26">
        <v>31.383104027917675</v>
      </c>
      <c r="N94" s="32">
        <v>0</v>
      </c>
      <c r="O94" s="32">
        <v>0.11572554929498434</v>
      </c>
      <c r="P94" s="32">
        <v>6.3717498500583236</v>
      </c>
      <c r="Q94" s="32">
        <v>76.751156321850701</v>
      </c>
      <c r="R94" s="32">
        <v>304.00764881841059</v>
      </c>
      <c r="S94" s="32">
        <v>402.91046043386734</v>
      </c>
      <c r="T94" s="32">
        <v>390.06711497631005</v>
      </c>
      <c r="U94" s="32">
        <v>395.64893797708493</v>
      </c>
      <c r="V94" s="32">
        <v>185.99919506313421</v>
      </c>
      <c r="W94" s="32">
        <v>106.95468351321772</v>
      </c>
      <c r="X94" s="32">
        <v>30.229011250223977</v>
      </c>
      <c r="Y94" s="32">
        <v>0.20714234261807368</v>
      </c>
      <c r="Z94" s="32"/>
      <c r="AA94" s="32">
        <v>0</v>
      </c>
      <c r="AB94" s="32">
        <v>7.9142183827320606E-2</v>
      </c>
      <c r="AC94" s="32">
        <v>2.3494503662356068</v>
      </c>
      <c r="AD94" s="32">
        <v>50.582453421136663</v>
      </c>
      <c r="AE94" s="32">
        <v>197.12643550307411</v>
      </c>
      <c r="AF94" s="32">
        <v>296.16952352635161</v>
      </c>
      <c r="AG94" s="32">
        <v>335.94293531249832</v>
      </c>
      <c r="AH94" s="32">
        <v>287.72468946384976</v>
      </c>
      <c r="AI94" s="32">
        <v>148.87413056095332</v>
      </c>
      <c r="AJ94" s="32">
        <v>70.259870965503325</v>
      </c>
      <c r="AK94" s="32">
        <v>14.915443781646319</v>
      </c>
      <c r="AL94" s="32">
        <v>0.15307748097600898</v>
      </c>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38" t="s">
        <v>353</v>
      </c>
      <c r="C95" s="121">
        <v>3303.4399786621234</v>
      </c>
      <c r="D95" s="121">
        <v>362.85004296566234</v>
      </c>
      <c r="E95" s="121">
        <v>72.570008593132485</v>
      </c>
      <c r="F95" s="121">
        <v>435.42005155879485</v>
      </c>
      <c r="G95" s="121">
        <v>833.4510057872086</v>
      </c>
      <c r="H95" s="121">
        <v>1595.6813165361868</v>
      </c>
      <c r="I95" s="121">
        <v>1154.6387027742539</v>
      </c>
      <c r="J95" s="121">
        <v>6.8015346073939744</v>
      </c>
      <c r="K95" s="121">
        <v>18.41350693844333</v>
      </c>
      <c r="L95" s="30">
        <v>2.2351130078423087</v>
      </c>
      <c r="M95" s="26">
        <v>31.383104027917675</v>
      </c>
      <c r="N95" s="32">
        <v>0</v>
      </c>
      <c r="O95" s="32">
        <v>2.5187375139386105E-2</v>
      </c>
      <c r="P95" s="32">
        <v>1.3867953511170055</v>
      </c>
      <c r="Q95" s="32">
        <v>16.704696399690398</v>
      </c>
      <c r="R95" s="32">
        <v>66.166501197708499</v>
      </c>
      <c r="S95" s="32">
        <v>87.692449734351214</v>
      </c>
      <c r="T95" s="32">
        <v>84.897127853790067</v>
      </c>
      <c r="U95" s="32">
        <v>86.111997610198017</v>
      </c>
      <c r="V95" s="32">
        <v>40.482257636447954</v>
      </c>
      <c r="W95" s="32">
        <v>23.278418231526036</v>
      </c>
      <c r="X95" s="32">
        <v>6.5792683732382473</v>
      </c>
      <c r="Y95" s="32">
        <v>4.508401059712052E-2</v>
      </c>
      <c r="Z95" s="32"/>
      <c r="AA95" s="32">
        <v>0</v>
      </c>
      <c r="AB95" s="32">
        <v>1.7225097530778149E-2</v>
      </c>
      <c r="AC95" s="32">
        <v>0.51135197116155795</v>
      </c>
      <c r="AD95" s="32">
        <v>11.009143940558605</v>
      </c>
      <c r="AE95" s="32">
        <v>42.904073570218259</v>
      </c>
      <c r="AF95" s="32">
        <v>64.460552914694773</v>
      </c>
      <c r="AG95" s="32">
        <v>73.117136092169261</v>
      </c>
      <c r="AH95" s="32">
        <v>62.622555991647822</v>
      </c>
      <c r="AI95" s="32">
        <v>32.402080593547851</v>
      </c>
      <c r="AJ95" s="32">
        <v>15.291884445863616</v>
      </c>
      <c r="AK95" s="32">
        <v>3.2463088763669572</v>
      </c>
      <c r="AL95" s="32">
        <v>3.3316929253945519E-2</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38" t="s">
        <v>354</v>
      </c>
      <c r="C96" s="122"/>
      <c r="D96" s="122"/>
      <c r="E96" s="122"/>
      <c r="F96" s="122"/>
      <c r="G96" s="122"/>
      <c r="H96" s="122"/>
      <c r="I96" s="122"/>
      <c r="J96" s="122"/>
      <c r="K96" s="122"/>
      <c r="L96" s="115"/>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t="s">
        <v>38</v>
      </c>
      <c r="C97" s="123">
        <v>0</v>
      </c>
      <c r="D97" s="123">
        <v>0</v>
      </c>
      <c r="E97" s="123">
        <v>0</v>
      </c>
      <c r="F97" s="123">
        <v>0</v>
      </c>
      <c r="G97" s="123">
        <v>0</v>
      </c>
      <c r="H97" s="123">
        <v>0</v>
      </c>
      <c r="I97" s="123">
        <v>0</v>
      </c>
      <c r="J97" s="123">
        <v>0</v>
      </c>
      <c r="K97" s="123">
        <v>0</v>
      </c>
      <c r="L97" s="115">
        <v>0</v>
      </c>
      <c r="M97" s="123">
        <v>0</v>
      </c>
      <c r="N97" s="123">
        <v>0</v>
      </c>
      <c r="O97" s="123">
        <v>0</v>
      </c>
      <c r="P97" s="123">
        <v>0</v>
      </c>
      <c r="Q97" s="123">
        <v>0</v>
      </c>
      <c r="R97" s="123">
        <v>0</v>
      </c>
      <c r="S97" s="123">
        <v>0</v>
      </c>
      <c r="T97" s="123">
        <v>0</v>
      </c>
      <c r="U97" s="123">
        <v>0</v>
      </c>
      <c r="V97" s="123">
        <v>0</v>
      </c>
      <c r="W97" s="123">
        <v>0</v>
      </c>
      <c r="X97" s="123">
        <v>0</v>
      </c>
      <c r="Y97" s="123">
        <v>0</v>
      </c>
      <c r="Z97" s="123"/>
      <c r="AA97" s="123">
        <v>0</v>
      </c>
      <c r="AB97" s="123">
        <v>0</v>
      </c>
      <c r="AC97" s="123">
        <v>0</v>
      </c>
      <c r="AD97" s="123">
        <v>0</v>
      </c>
      <c r="AE97" s="123">
        <v>0</v>
      </c>
      <c r="AF97" s="123">
        <v>0</v>
      </c>
      <c r="AG97" s="123">
        <v>0</v>
      </c>
      <c r="AH97" s="123">
        <v>0</v>
      </c>
      <c r="AI97" s="123">
        <v>0</v>
      </c>
      <c r="AJ97" s="123">
        <v>0</v>
      </c>
      <c r="AK97" s="123">
        <v>0</v>
      </c>
      <c r="AL97" s="123">
        <v>0</v>
      </c>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c r="B98" s="7" t="s">
        <v>41</v>
      </c>
      <c r="C98" s="26">
        <v>475.8558221289847</v>
      </c>
      <c r="D98" s="26">
        <v>24.056249999999999</v>
      </c>
      <c r="E98" s="26">
        <v>4.8112500000000002</v>
      </c>
      <c r="F98" s="26">
        <v>28.8675</v>
      </c>
      <c r="G98" s="26">
        <v>58.711868107937185</v>
      </c>
      <c r="H98" s="26">
        <v>229.85562009324167</v>
      </c>
      <c r="I98" s="26">
        <v>531.41999790738078</v>
      </c>
      <c r="J98" s="26">
        <v>3.0488811361882551</v>
      </c>
      <c r="K98" s="26">
        <v>8.927621509866329</v>
      </c>
      <c r="L98" s="30">
        <v>3.9149771162223974</v>
      </c>
      <c r="M98" s="26">
        <v>4.520691420042799</v>
      </c>
      <c r="N98" s="32">
        <v>0</v>
      </c>
      <c r="O98" s="32">
        <v>1.6670100488217633E-2</v>
      </c>
      <c r="P98" s="32">
        <v>0.91784148732367676</v>
      </c>
      <c r="Q98" s="32">
        <v>11.055894711813686</v>
      </c>
      <c r="R98" s="32">
        <v>43.791868657039302</v>
      </c>
      <c r="S98" s="32">
        <v>58.038677751842876</v>
      </c>
      <c r="T98" s="32">
        <v>56.188612138098122</v>
      </c>
      <c r="U98" s="32">
        <v>56.992665788283695</v>
      </c>
      <c r="V98" s="32">
        <v>26.792919034037585</v>
      </c>
      <c r="W98" s="32">
        <v>15.406669769232435</v>
      </c>
      <c r="X98" s="32">
        <v>4.354445999786976</v>
      </c>
      <c r="Y98" s="32">
        <v>2.983855931421148E-2</v>
      </c>
      <c r="Z98" s="32"/>
      <c r="AA98" s="32">
        <v>0</v>
      </c>
      <c r="AB98" s="32">
        <v>1.1400318817200092E-2</v>
      </c>
      <c r="AC98" s="32">
        <v>0.33843497771952041</v>
      </c>
      <c r="AD98" s="32">
        <v>7.2863303445774337</v>
      </c>
      <c r="AE98" s="32">
        <v>28.395782165130083</v>
      </c>
      <c r="AF98" s="32">
        <v>42.662797876612025</v>
      </c>
      <c r="AG98" s="32">
        <v>48.392101174574947</v>
      </c>
      <c r="AH98" s="32">
        <v>41.446331562251402</v>
      </c>
      <c r="AI98" s="32">
        <v>21.445106388919818</v>
      </c>
      <c r="AJ98" s="32">
        <v>10.120834305125289</v>
      </c>
      <c r="AK98" s="32">
        <v>2.1485484249689484</v>
      </c>
      <c r="AL98" s="32">
        <v>2.2050593027203646E-2</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c r="B99" s="7" t="s">
        <v>44</v>
      </c>
      <c r="C99" s="26">
        <v>1942.9895190137554</v>
      </c>
      <c r="D99" s="26">
        <v>201.6791739968769</v>
      </c>
      <c r="E99" s="26">
        <v>40.335834799375377</v>
      </c>
      <c r="F99" s="26">
        <v>242.01500879625229</v>
      </c>
      <c r="G99" s="26">
        <v>421.18677338201354</v>
      </c>
      <c r="H99" s="26">
        <v>938.53440466368795</v>
      </c>
      <c r="I99" s="26">
        <v>1091.128622315621</v>
      </c>
      <c r="J99" s="26">
        <v>6.4191145644324044</v>
      </c>
      <c r="K99" s="26">
        <v>15.799487963679866</v>
      </c>
      <c r="L99" s="30">
        <v>2.2835981947233117</v>
      </c>
      <c r="M99" s="26">
        <v>18.458649951030075</v>
      </c>
      <c r="N99" s="32">
        <v>0</v>
      </c>
      <c r="O99" s="32">
        <v>6.8066479431943189E-2</v>
      </c>
      <c r="P99" s="32">
        <v>3.7476821908096922</v>
      </c>
      <c r="Q99" s="32">
        <v>45.142849050927154</v>
      </c>
      <c r="R99" s="32">
        <v>178.80865981206964</v>
      </c>
      <c r="S99" s="32">
        <v>236.98048300579728</v>
      </c>
      <c r="T99" s="32">
        <v>229.42639218704619</v>
      </c>
      <c r="U99" s="32">
        <v>232.70946185307594</v>
      </c>
      <c r="V99" s="32">
        <v>109.39944085166269</v>
      </c>
      <c r="W99" s="32">
        <v>62.907705427654868</v>
      </c>
      <c r="X99" s="32">
        <v>17.779845375946962</v>
      </c>
      <c r="Y99" s="32">
        <v>0.12183523940213198</v>
      </c>
      <c r="Z99" s="32"/>
      <c r="AA99" s="32">
        <v>0</v>
      </c>
      <c r="AB99" s="32">
        <v>4.6549183481947476E-2</v>
      </c>
      <c r="AC99" s="32">
        <v>1.3818799392527779</v>
      </c>
      <c r="AD99" s="32">
        <v>29.751161661206687</v>
      </c>
      <c r="AE99" s="32">
        <v>115.94416746694854</v>
      </c>
      <c r="AF99" s="32">
        <v>174.19849725741199</v>
      </c>
      <c r="AG99" s="32">
        <v>197.59208779790032</v>
      </c>
      <c r="AH99" s="32">
        <v>169.2314858452971</v>
      </c>
      <c r="AI99" s="32">
        <v>87.563532923448776</v>
      </c>
      <c r="AJ99" s="32">
        <v>41.324859472252136</v>
      </c>
      <c r="AK99" s="32">
        <v>8.7728401685429347</v>
      </c>
      <c r="AL99" s="32">
        <v>9.0035824187691127E-2</v>
      </c>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t="s">
        <v>47</v>
      </c>
      <c r="C100" s="26">
        <v>597.77467755436635</v>
      </c>
      <c r="D100" s="26">
        <v>72.964618968785459</v>
      </c>
      <c r="E100" s="26">
        <v>14.592923793757095</v>
      </c>
      <c r="F100" s="26">
        <v>87.557542762542553</v>
      </c>
      <c r="G100" s="26">
        <v>221.48110632660064</v>
      </c>
      <c r="H100" s="26">
        <v>288.746848931172</v>
      </c>
      <c r="I100" s="26">
        <v>1283.098972572513</v>
      </c>
      <c r="J100" s="26">
        <v>7.5750461750120186</v>
      </c>
      <c r="K100" s="26">
        <v>27.111711416814121</v>
      </c>
      <c r="L100" s="30">
        <v>1.3093760389413114</v>
      </c>
      <c r="M100" s="26">
        <v>5.678936203509088</v>
      </c>
      <c r="N100" s="32">
        <v>0</v>
      </c>
      <c r="O100" s="32">
        <v>2.0941141162379422E-2</v>
      </c>
      <c r="P100" s="32">
        <v>1.153001336993648</v>
      </c>
      <c r="Q100" s="32">
        <v>13.888521667888815</v>
      </c>
      <c r="R100" s="32">
        <v>55.011768162981838</v>
      </c>
      <c r="S100" s="32">
        <v>72.908747283091017</v>
      </c>
      <c r="T100" s="32">
        <v>70.584676999023074</v>
      </c>
      <c r="U100" s="32">
        <v>71.594736956523832</v>
      </c>
      <c r="V100" s="32">
        <v>33.657523542857398</v>
      </c>
      <c r="W100" s="32">
        <v>19.354007296338494</v>
      </c>
      <c r="X100" s="32">
        <v>5.470097101691028</v>
      </c>
      <c r="Y100" s="32">
        <v>3.7483486264679566E-2</v>
      </c>
      <c r="Z100" s="32"/>
      <c r="AA100" s="32">
        <v>0</v>
      </c>
      <c r="AB100" s="32">
        <v>1.4321190554061449E-2</v>
      </c>
      <c r="AC100" s="32">
        <v>0.42514528617991404</v>
      </c>
      <c r="AD100" s="32">
        <v>9.1531585193125018</v>
      </c>
      <c r="AE100" s="32">
        <v>35.671055681785148</v>
      </c>
      <c r="AF100" s="32">
        <v>53.59341854883543</v>
      </c>
      <c r="AG100" s="32">
        <v>60.790624661031799</v>
      </c>
      <c r="AH100" s="32">
        <v>52.065281821266794</v>
      </c>
      <c r="AI100" s="32">
        <v>26.939549671582746</v>
      </c>
      <c r="AJ100" s="32">
        <v>12.713889758161962</v>
      </c>
      <c r="AK100" s="32">
        <v>2.6990272730079607</v>
      </c>
      <c r="AL100" s="32">
        <v>2.7700167831815073E-2</v>
      </c>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c r="B101" s="7" t="s">
        <v>50</v>
      </c>
      <c r="C101" s="26">
        <v>706.07140956513047</v>
      </c>
      <c r="D101" s="26">
        <v>143.06667839500301</v>
      </c>
      <c r="E101" s="26">
        <v>28.613335679000603</v>
      </c>
      <c r="F101" s="26">
        <v>171.68001407400362</v>
      </c>
      <c r="G101" s="26">
        <v>359.93043563675781</v>
      </c>
      <c r="H101" s="26">
        <v>341.05809812223134</v>
      </c>
      <c r="I101" s="26">
        <v>2129.9785020534036</v>
      </c>
      <c r="J101" s="26">
        <v>12.674452500883442</v>
      </c>
      <c r="K101" s="26">
        <v>37.358380113931048</v>
      </c>
      <c r="L101" s="115">
        <v>0.95386181090704569</v>
      </c>
      <c r="M101" s="26">
        <v>6.7077690651716129</v>
      </c>
      <c r="N101" s="32">
        <v>0</v>
      </c>
      <c r="O101" s="32">
        <v>2.4734973918460877E-2</v>
      </c>
      <c r="P101" s="32">
        <v>1.3618865264956699</v>
      </c>
      <c r="Q101" s="32">
        <v>16.404656200797753</v>
      </c>
      <c r="R101" s="32">
        <v>64.978056361335476</v>
      </c>
      <c r="S101" s="32">
        <v>86.117368126752183</v>
      </c>
      <c r="T101" s="32">
        <v>83.372254218425013</v>
      </c>
      <c r="U101" s="32">
        <v>84.565303179373998</v>
      </c>
      <c r="V101" s="32">
        <v>39.755138487303256</v>
      </c>
      <c r="W101" s="32">
        <v>22.860304602341927</v>
      </c>
      <c r="X101" s="32">
        <v>6.4610953191436451</v>
      </c>
      <c r="Y101" s="32">
        <v>4.4274237394257107E-2</v>
      </c>
      <c r="Z101" s="32"/>
      <c r="AA101" s="32">
        <v>0</v>
      </c>
      <c r="AB101" s="32">
        <v>1.6915710184524091E-2</v>
      </c>
      <c r="AC101" s="32">
        <v>0.50216735963313153</v>
      </c>
      <c r="AD101" s="32">
        <v>10.811403996142481</v>
      </c>
      <c r="AE101" s="32">
        <v>42.133455148948912</v>
      </c>
      <c r="AF101" s="32">
        <v>63.302749345297755</v>
      </c>
      <c r="AG101" s="32">
        <v>71.803847928730278</v>
      </c>
      <c r="AH101" s="32">
        <v>61.497765471345502</v>
      </c>
      <c r="AI101" s="32">
        <v>31.820092961255177</v>
      </c>
      <c r="AJ101" s="32">
        <v>15.017220366924393</v>
      </c>
      <c r="AK101" s="32">
        <v>3.1880005337531898</v>
      </c>
      <c r="AL101" s="32">
        <v>3.2718509633458952E-2</v>
      </c>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t="s">
        <v>53</v>
      </c>
      <c r="C102" s="26">
        <v>431.17402560129892</v>
      </c>
      <c r="D102" s="26">
        <v>18.340638363294548</v>
      </c>
      <c r="E102" s="26">
        <v>3.66812767265891</v>
      </c>
      <c r="F102" s="26">
        <v>22.008766035953457</v>
      </c>
      <c r="G102" s="26">
        <v>246.99615280346234</v>
      </c>
      <c r="H102" s="26">
        <v>208.27269188233652</v>
      </c>
      <c r="I102" s="26">
        <v>447.14379583994003</v>
      </c>
      <c r="J102" s="26">
        <v>2.5414198232355649</v>
      </c>
      <c r="K102" s="26">
        <v>41.999968562337358</v>
      </c>
      <c r="L102" s="115">
        <v>0.84322241265053821</v>
      </c>
      <c r="M102" s="26">
        <v>4.0962086149547092</v>
      </c>
      <c r="N102" s="32">
        <v>0</v>
      </c>
      <c r="O102" s="32">
        <v>1.5104815367236773E-2</v>
      </c>
      <c r="P102" s="32">
        <v>0.8316582261884401</v>
      </c>
      <c r="Q102" s="32">
        <v>10.017770946227238</v>
      </c>
      <c r="R102" s="32">
        <v>39.679910215201446</v>
      </c>
      <c r="S102" s="32">
        <v>52.588975826496174</v>
      </c>
      <c r="T102" s="32">
        <v>50.912627232638599</v>
      </c>
      <c r="U102" s="32">
        <v>51.64118204489003</v>
      </c>
      <c r="V102" s="32">
        <v>24.277123910830863</v>
      </c>
      <c r="W102" s="32">
        <v>13.96001796466232</v>
      </c>
      <c r="X102" s="32">
        <v>3.9455732675320823</v>
      </c>
      <c r="Y102" s="32">
        <v>2.7036785386150775E-2</v>
      </c>
      <c r="Z102" s="32"/>
      <c r="AA102" s="32">
        <v>0</v>
      </c>
      <c r="AB102" s="32">
        <v>1.0329854399087313E-2</v>
      </c>
      <c r="AC102" s="32">
        <v>0.3066566908748623</v>
      </c>
      <c r="AD102" s="32">
        <v>6.602160235166302</v>
      </c>
      <c r="AE102" s="32">
        <v>25.729481781811625</v>
      </c>
      <c r="AF102" s="32">
        <v>38.656856653709731</v>
      </c>
      <c r="AG102" s="32">
        <v>43.848191196641665</v>
      </c>
      <c r="AH102" s="32">
        <v>37.554613803292163</v>
      </c>
      <c r="AI102" s="32">
        <v>19.431458902382268</v>
      </c>
      <c r="AJ102" s="32">
        <v>9.170510618659069</v>
      </c>
      <c r="AK102" s="32">
        <v>1.94680453724087</v>
      </c>
      <c r="AL102" s="32">
        <v>1.9980091700671051E-2</v>
      </c>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c r="B103" s="7" t="s">
        <v>56</v>
      </c>
      <c r="C103" s="26">
        <v>419.25144960011363</v>
      </c>
      <c r="D103" s="26">
        <v>38.489999999999995</v>
      </c>
      <c r="E103" s="26">
        <v>7.6979999999999995</v>
      </c>
      <c r="F103" s="26">
        <v>46.187999999999995</v>
      </c>
      <c r="G103" s="26">
        <v>288.47941918951665</v>
      </c>
      <c r="H103" s="26">
        <v>202.5136552741462</v>
      </c>
      <c r="I103" s="26">
        <v>965.06972220589387</v>
      </c>
      <c r="J103" s="26">
        <v>5.6600626210633571</v>
      </c>
      <c r="K103" s="26">
        <v>50.479270561118348</v>
      </c>
      <c r="L103" s="115">
        <v>0.70200382350709323</v>
      </c>
      <c r="M103" s="26">
        <v>3.9829426118359033</v>
      </c>
      <c r="N103" s="32">
        <v>0</v>
      </c>
      <c r="O103" s="32">
        <v>1.4687145706016787E-2</v>
      </c>
      <c r="P103" s="32">
        <v>0.80866169156436385</v>
      </c>
      <c r="Q103" s="32">
        <v>9.7407653095767071</v>
      </c>
      <c r="R103" s="32">
        <v>38.582704175015706</v>
      </c>
      <c r="S103" s="32">
        <v>51.134815733616016</v>
      </c>
      <c r="T103" s="32">
        <v>49.504820566282397</v>
      </c>
      <c r="U103" s="32">
        <v>50.213229800172549</v>
      </c>
      <c r="V103" s="32">
        <v>23.605826852726715</v>
      </c>
      <c r="W103" s="32">
        <v>13.574003582350009</v>
      </c>
      <c r="X103" s="32">
        <v>3.8364725463446354</v>
      </c>
      <c r="Y103" s="32">
        <v>2.6289179757206446E-2</v>
      </c>
      <c r="Z103" s="32"/>
      <c r="AA103" s="32">
        <v>0</v>
      </c>
      <c r="AB103" s="32">
        <v>1.0044219210412521E-2</v>
      </c>
      <c r="AC103" s="32">
        <v>0.29817719654973729</v>
      </c>
      <c r="AD103" s="32">
        <v>6.4196011001024464</v>
      </c>
      <c r="AE103" s="32">
        <v>25.018024959738536</v>
      </c>
      <c r="AF103" s="32">
        <v>37.5879395018056</v>
      </c>
      <c r="AG103" s="32">
        <v>42.635726249739051</v>
      </c>
      <c r="AH103" s="32">
        <v>36.516175236311</v>
      </c>
      <c r="AI103" s="32">
        <v>18.894151384253181</v>
      </c>
      <c r="AJ103" s="32">
        <v>8.916932936960448</v>
      </c>
      <c r="AK103" s="32">
        <v>1.8929726186267151</v>
      </c>
      <c r="AL103" s="32">
        <v>1.9427613704159789E-2</v>
      </c>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c r="B104" s="7" t="s">
        <v>59</v>
      </c>
      <c r="C104" s="123">
        <v>0</v>
      </c>
      <c r="D104" s="123">
        <v>0</v>
      </c>
      <c r="E104" s="123">
        <v>0</v>
      </c>
      <c r="F104" s="123">
        <v>0</v>
      </c>
      <c r="G104" s="123">
        <v>0</v>
      </c>
      <c r="H104" s="123">
        <v>0</v>
      </c>
      <c r="I104" s="123">
        <v>0</v>
      </c>
      <c r="J104" s="123">
        <v>0</v>
      </c>
      <c r="K104" s="123">
        <v>0</v>
      </c>
      <c r="L104" s="124">
        <v>0</v>
      </c>
      <c r="M104" s="123">
        <v>0</v>
      </c>
      <c r="N104" s="123">
        <v>0</v>
      </c>
      <c r="O104" s="123">
        <v>0</v>
      </c>
      <c r="P104" s="123">
        <v>0</v>
      </c>
      <c r="Q104" s="123">
        <v>0</v>
      </c>
      <c r="R104" s="123">
        <v>0</v>
      </c>
      <c r="S104" s="123">
        <v>0</v>
      </c>
      <c r="T104" s="123">
        <v>0</v>
      </c>
      <c r="U104" s="123">
        <v>0</v>
      </c>
      <c r="V104" s="123">
        <v>0</v>
      </c>
      <c r="W104" s="123">
        <v>0</v>
      </c>
      <c r="X104" s="123">
        <v>0</v>
      </c>
      <c r="Y104" s="123">
        <v>0</v>
      </c>
      <c r="Z104" s="123"/>
      <c r="AA104" s="123">
        <v>0</v>
      </c>
      <c r="AB104" s="123">
        <v>0</v>
      </c>
      <c r="AC104" s="123">
        <v>0</v>
      </c>
      <c r="AD104" s="123">
        <v>0</v>
      </c>
      <c r="AE104" s="123">
        <v>0</v>
      </c>
      <c r="AF104" s="123">
        <v>0</v>
      </c>
      <c r="AG104" s="123">
        <v>0</v>
      </c>
      <c r="AH104" s="123">
        <v>0</v>
      </c>
      <c r="AI104" s="123">
        <v>0</v>
      </c>
      <c r="AJ104" s="123">
        <v>0</v>
      </c>
      <c r="AK104" s="123">
        <v>0</v>
      </c>
      <c r="AL104" s="123">
        <v>0</v>
      </c>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c r="B105" s="7" t="s">
        <v>62</v>
      </c>
      <c r="C105" s="26">
        <v>272.53397519140287</v>
      </c>
      <c r="D105" s="26">
        <v>38.489999999999995</v>
      </c>
      <c r="E105" s="26">
        <v>7.6979999999999995</v>
      </c>
      <c r="F105" s="26">
        <v>46.187999999999995</v>
      </c>
      <c r="G105" s="26">
        <v>288.47941918951665</v>
      </c>
      <c r="H105" s="26">
        <v>131.64379408836143</v>
      </c>
      <c r="I105" s="26">
        <v>1484.6107892267053</v>
      </c>
      <c r="J105" s="26">
        <v>8.7884308381341878</v>
      </c>
      <c r="K105" s="26">
        <v>77.735863486119598</v>
      </c>
      <c r="L105" s="115">
        <v>0.45633686610370633</v>
      </c>
      <c r="M105" s="26">
        <v>2.5891077633678172</v>
      </c>
      <c r="N105" s="32">
        <v>0</v>
      </c>
      <c r="O105" s="32">
        <v>9.5473640157808844E-3</v>
      </c>
      <c r="P105" s="32">
        <v>0.52566970393840817</v>
      </c>
      <c r="Q105" s="32">
        <v>6.3319745077984253</v>
      </c>
      <c r="R105" s="32">
        <v>25.080647311966064</v>
      </c>
      <c r="S105" s="32">
        <v>33.240134568060625</v>
      </c>
      <c r="T105" s="32">
        <v>32.180557879846624</v>
      </c>
      <c r="U105" s="32">
        <v>32.641058576405996</v>
      </c>
      <c r="V105" s="32">
        <v>15.344943555925228</v>
      </c>
      <c r="W105" s="32">
        <v>8.8237671189657068</v>
      </c>
      <c r="X105" s="32">
        <v>2.4938950473880572</v>
      </c>
      <c r="Y105" s="32">
        <v>1.7089254361759731E-2</v>
      </c>
      <c r="Z105" s="32"/>
      <c r="AA105" s="32">
        <v>0</v>
      </c>
      <c r="AB105" s="32">
        <v>6.5292344050772626E-3</v>
      </c>
      <c r="AC105" s="32">
        <v>0.19382978106489085</v>
      </c>
      <c r="AD105" s="32">
        <v>4.1730551167390608</v>
      </c>
      <c r="AE105" s="32">
        <v>16.262941488261063</v>
      </c>
      <c r="AF105" s="32">
        <v>24.434001555514865</v>
      </c>
      <c r="AG105" s="32">
        <v>27.715310158371071</v>
      </c>
      <c r="AH105" s="32">
        <v>23.737302293003221</v>
      </c>
      <c r="AI105" s="32">
        <v>12.282123745857339</v>
      </c>
      <c r="AJ105" s="32">
        <v>5.7964431181881428</v>
      </c>
      <c r="AK105" s="32">
        <v>1.2305249109451815</v>
      </c>
      <c r="AL105" s="32">
        <v>1.2628900380255732E-2</v>
      </c>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c r="B106" s="7" t="s">
        <v>65</v>
      </c>
      <c r="C106" s="123">
        <v>0</v>
      </c>
      <c r="D106" s="123">
        <v>0</v>
      </c>
      <c r="E106" s="123">
        <v>0</v>
      </c>
      <c r="F106" s="123">
        <v>0</v>
      </c>
      <c r="G106" s="123">
        <v>0</v>
      </c>
      <c r="H106" s="123">
        <v>0</v>
      </c>
      <c r="I106" s="123">
        <v>0</v>
      </c>
      <c r="J106" s="123">
        <v>0</v>
      </c>
      <c r="K106" s="123">
        <v>0</v>
      </c>
      <c r="L106" s="124">
        <v>0</v>
      </c>
      <c r="M106" s="123">
        <v>0</v>
      </c>
      <c r="N106" s="123">
        <v>0</v>
      </c>
      <c r="O106" s="123">
        <v>0</v>
      </c>
      <c r="P106" s="123">
        <v>0</v>
      </c>
      <c r="Q106" s="123">
        <v>0</v>
      </c>
      <c r="R106" s="123">
        <v>0</v>
      </c>
      <c r="S106" s="123">
        <v>0</v>
      </c>
      <c r="T106" s="123">
        <v>0</v>
      </c>
      <c r="U106" s="123">
        <v>0</v>
      </c>
      <c r="V106" s="123">
        <v>0</v>
      </c>
      <c r="W106" s="123">
        <v>0</v>
      </c>
      <c r="X106" s="123">
        <v>0</v>
      </c>
      <c r="Y106" s="123">
        <v>0</v>
      </c>
      <c r="Z106" s="123"/>
      <c r="AA106" s="123">
        <v>0</v>
      </c>
      <c r="AB106" s="123">
        <v>0</v>
      </c>
      <c r="AC106" s="123">
        <v>0</v>
      </c>
      <c r="AD106" s="123">
        <v>0</v>
      </c>
      <c r="AE106" s="123">
        <v>0</v>
      </c>
      <c r="AF106" s="123">
        <v>0</v>
      </c>
      <c r="AG106" s="123">
        <v>0</v>
      </c>
      <c r="AH106" s="123">
        <v>0</v>
      </c>
      <c r="AI106" s="123">
        <v>0</v>
      </c>
      <c r="AJ106" s="123">
        <v>0</v>
      </c>
      <c r="AK106" s="123">
        <v>0</v>
      </c>
      <c r="AL106" s="123">
        <v>0</v>
      </c>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c r="B107" s="7" t="s">
        <v>68</v>
      </c>
      <c r="C107" s="123">
        <v>0</v>
      </c>
      <c r="D107" s="123">
        <v>0</v>
      </c>
      <c r="E107" s="123">
        <v>0</v>
      </c>
      <c r="F107" s="123">
        <v>0</v>
      </c>
      <c r="G107" s="123">
        <v>0</v>
      </c>
      <c r="H107" s="123">
        <v>0</v>
      </c>
      <c r="I107" s="123">
        <v>0</v>
      </c>
      <c r="J107" s="123">
        <v>0</v>
      </c>
      <c r="K107" s="123">
        <v>0</v>
      </c>
      <c r="L107" s="124">
        <v>0</v>
      </c>
      <c r="M107" s="123">
        <v>0</v>
      </c>
      <c r="N107" s="123">
        <v>0</v>
      </c>
      <c r="O107" s="123">
        <v>0</v>
      </c>
      <c r="P107" s="123">
        <v>0</v>
      </c>
      <c r="Q107" s="123">
        <v>0</v>
      </c>
      <c r="R107" s="123">
        <v>0</v>
      </c>
      <c r="S107" s="123">
        <v>0</v>
      </c>
      <c r="T107" s="123">
        <v>0</v>
      </c>
      <c r="U107" s="123">
        <v>0</v>
      </c>
      <c r="V107" s="123">
        <v>0</v>
      </c>
      <c r="W107" s="123">
        <v>0</v>
      </c>
      <c r="X107" s="123">
        <v>0</v>
      </c>
      <c r="Y107" s="123">
        <v>0</v>
      </c>
      <c r="Z107" s="123"/>
      <c r="AA107" s="123">
        <v>0</v>
      </c>
      <c r="AB107" s="123">
        <v>0</v>
      </c>
      <c r="AC107" s="123">
        <v>0</v>
      </c>
      <c r="AD107" s="123">
        <v>0</v>
      </c>
      <c r="AE107" s="123">
        <v>0</v>
      </c>
      <c r="AF107" s="123">
        <v>0</v>
      </c>
      <c r="AG107" s="123">
        <v>0</v>
      </c>
      <c r="AH107" s="123">
        <v>0</v>
      </c>
      <c r="AI107" s="123">
        <v>0</v>
      </c>
      <c r="AJ107" s="123">
        <v>0</v>
      </c>
      <c r="AK107" s="123">
        <v>0</v>
      </c>
      <c r="AL107" s="123">
        <v>0</v>
      </c>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c r="B108" s="7" t="s">
        <v>71</v>
      </c>
      <c r="C108" s="123">
        <v>0</v>
      </c>
      <c r="D108" s="123">
        <v>0</v>
      </c>
      <c r="E108" s="123">
        <v>0</v>
      </c>
      <c r="F108" s="123">
        <v>0</v>
      </c>
      <c r="G108" s="123">
        <v>0</v>
      </c>
      <c r="H108" s="123">
        <v>0</v>
      </c>
      <c r="I108" s="123">
        <v>0</v>
      </c>
      <c r="J108" s="123">
        <v>0</v>
      </c>
      <c r="K108" s="123">
        <v>0</v>
      </c>
      <c r="L108" s="124">
        <v>0</v>
      </c>
      <c r="M108" s="123">
        <v>0</v>
      </c>
      <c r="N108" s="123">
        <v>0</v>
      </c>
      <c r="O108" s="123">
        <v>0</v>
      </c>
      <c r="P108" s="123">
        <v>0</v>
      </c>
      <c r="Q108" s="123">
        <v>0</v>
      </c>
      <c r="R108" s="123">
        <v>0</v>
      </c>
      <c r="S108" s="123">
        <v>0</v>
      </c>
      <c r="T108" s="123">
        <v>0</v>
      </c>
      <c r="U108" s="123">
        <v>0</v>
      </c>
      <c r="V108" s="123">
        <v>0</v>
      </c>
      <c r="W108" s="123">
        <v>0</v>
      </c>
      <c r="X108" s="123">
        <v>0</v>
      </c>
      <c r="Y108" s="123">
        <v>0</v>
      </c>
      <c r="Z108" s="123"/>
      <c r="AA108" s="123">
        <v>0</v>
      </c>
      <c r="AB108" s="123">
        <v>0</v>
      </c>
      <c r="AC108" s="123">
        <v>0</v>
      </c>
      <c r="AD108" s="123">
        <v>0</v>
      </c>
      <c r="AE108" s="123">
        <v>0</v>
      </c>
      <c r="AF108" s="123">
        <v>0</v>
      </c>
      <c r="AG108" s="123">
        <v>0</v>
      </c>
      <c r="AH108" s="123">
        <v>0</v>
      </c>
      <c r="AI108" s="123">
        <v>0</v>
      </c>
      <c r="AJ108" s="123">
        <v>0</v>
      </c>
      <c r="AK108" s="123">
        <v>0</v>
      </c>
      <c r="AL108" s="123">
        <v>0</v>
      </c>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c r="B109" s="7" t="s">
        <v>74</v>
      </c>
      <c r="C109" s="26">
        <v>272.53397519140287</v>
      </c>
      <c r="D109" s="26">
        <v>166.79</v>
      </c>
      <c r="E109" s="26">
        <v>33.357999999999997</v>
      </c>
      <c r="F109" s="26">
        <v>200.148</v>
      </c>
      <c r="G109" s="26">
        <v>408.77172835093427</v>
      </c>
      <c r="H109" s="26">
        <v>131.64379408836143</v>
      </c>
      <c r="I109" s="26">
        <v>6433.3134199823908</v>
      </c>
      <c r="J109" s="26">
        <v>38.586583493448245</v>
      </c>
      <c r="K109" s="26">
        <v>110.21371749662713</v>
      </c>
      <c r="L109" s="115">
        <v>0.32204720864487973</v>
      </c>
      <c r="M109" s="26">
        <v>2.5891077633678172</v>
      </c>
      <c r="N109" s="32">
        <v>0</v>
      </c>
      <c r="O109" s="32">
        <v>9.5473640157808844E-3</v>
      </c>
      <c r="P109" s="32">
        <v>0.52566970393840817</v>
      </c>
      <c r="Q109" s="32">
        <v>6.3319745077984253</v>
      </c>
      <c r="R109" s="32">
        <v>25.080647311966064</v>
      </c>
      <c r="S109" s="32">
        <v>33.240134568060625</v>
      </c>
      <c r="T109" s="32">
        <v>32.180557879846624</v>
      </c>
      <c r="U109" s="32">
        <v>32.641058576405996</v>
      </c>
      <c r="V109" s="32">
        <v>15.344943555925228</v>
      </c>
      <c r="W109" s="32">
        <v>8.8237671189657068</v>
      </c>
      <c r="X109" s="32">
        <v>2.4938950473880572</v>
      </c>
      <c r="Y109" s="32">
        <v>1.7089254361759731E-2</v>
      </c>
      <c r="Z109" s="32"/>
      <c r="AA109" s="32">
        <v>0</v>
      </c>
      <c r="AB109" s="32">
        <v>6.5292344050772626E-3</v>
      </c>
      <c r="AC109" s="32">
        <v>0.19382978106489085</v>
      </c>
      <c r="AD109" s="32">
        <v>4.1730551167390608</v>
      </c>
      <c r="AE109" s="32">
        <v>16.262941488261063</v>
      </c>
      <c r="AF109" s="32">
        <v>24.434001555514865</v>
      </c>
      <c r="AG109" s="32">
        <v>27.715310158371071</v>
      </c>
      <c r="AH109" s="32">
        <v>23.737302293003221</v>
      </c>
      <c r="AI109" s="32">
        <v>12.282123745857339</v>
      </c>
      <c r="AJ109" s="32">
        <v>5.7964431181881428</v>
      </c>
      <c r="AK109" s="32">
        <v>1.2305249109451815</v>
      </c>
      <c r="AL109" s="32">
        <v>1.2628900380255732E-2</v>
      </c>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c r="B110" s="7" t="s">
        <v>77</v>
      </c>
      <c r="C110" s="26">
        <v>202.83432959591843</v>
      </c>
      <c r="D110" s="26">
        <v>64.150000000000006</v>
      </c>
      <c r="E110" s="26">
        <v>12.830000000000002</v>
      </c>
      <c r="F110" s="26">
        <v>76.98</v>
      </c>
      <c r="G110" s="26">
        <v>341.30792237777956</v>
      </c>
      <c r="H110" s="26">
        <v>97.976337447919931</v>
      </c>
      <c r="I110" s="26">
        <v>3324.6088142150943</v>
      </c>
      <c r="J110" s="26">
        <v>19.867807823392212</v>
      </c>
      <c r="K110" s="26">
        <v>123.66448698155362</v>
      </c>
      <c r="L110" s="115">
        <v>0.28706142173715499</v>
      </c>
      <c r="M110" s="26">
        <v>1.9269521793217717</v>
      </c>
      <c r="N110" s="32">
        <v>0</v>
      </c>
      <c r="O110" s="32">
        <v>7.1056578475731987E-3</v>
      </c>
      <c r="P110" s="32">
        <v>0.39123144889494649</v>
      </c>
      <c r="Q110" s="32">
        <v>4.7125933689762363</v>
      </c>
      <c r="R110" s="32">
        <v>18.666356294775785</v>
      </c>
      <c r="S110" s="32">
        <v>24.739082186195535</v>
      </c>
      <c r="T110" s="32">
        <v>23.950488664751425</v>
      </c>
      <c r="U110" s="32">
        <v>24.29321786025622</v>
      </c>
      <c r="V110" s="32">
        <v>11.42052596072611</v>
      </c>
      <c r="W110" s="32">
        <v>6.5671184182777669</v>
      </c>
      <c r="X110" s="32">
        <v>1.8560897945449806</v>
      </c>
      <c r="Y110" s="32">
        <v>1.2718735157065307E-2</v>
      </c>
      <c r="Z110" s="32"/>
      <c r="AA110" s="32">
        <v>0</v>
      </c>
      <c r="AB110" s="32">
        <v>4.8594047123788802E-3</v>
      </c>
      <c r="AC110" s="32">
        <v>0.1442584678494096</v>
      </c>
      <c r="AD110" s="32">
        <v>3.1058103356696116</v>
      </c>
      <c r="AE110" s="32">
        <v>12.103749015925036</v>
      </c>
      <c r="AF110" s="32">
        <v>18.18508801105553</v>
      </c>
      <c r="AG110" s="32">
        <v>20.627212998188707</v>
      </c>
      <c r="AH110" s="32">
        <v>17.666567236747397</v>
      </c>
      <c r="AI110" s="32">
        <v>9.1410119940292507</v>
      </c>
      <c r="AJ110" s="32">
        <v>4.3140223272817666</v>
      </c>
      <c r="AK110" s="32">
        <v>0.91582231238271161</v>
      </c>
      <c r="AL110" s="32">
        <v>9.3991016729704831E-3</v>
      </c>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c r="B111" s="7" t="s">
        <v>80</v>
      </c>
      <c r="C111" s="123">
        <v>0</v>
      </c>
      <c r="D111" s="123">
        <v>0</v>
      </c>
      <c r="E111" s="123">
        <v>0</v>
      </c>
      <c r="F111" s="123">
        <v>0</v>
      </c>
      <c r="G111" s="123">
        <v>0</v>
      </c>
      <c r="H111" s="123">
        <v>0</v>
      </c>
      <c r="I111" s="123">
        <v>0</v>
      </c>
      <c r="J111" s="123">
        <v>0</v>
      </c>
      <c r="K111" s="123">
        <v>0</v>
      </c>
      <c r="L111" s="124">
        <v>0</v>
      </c>
      <c r="M111" s="123">
        <v>0</v>
      </c>
      <c r="N111" s="123">
        <v>0</v>
      </c>
      <c r="O111" s="123">
        <v>0</v>
      </c>
      <c r="P111" s="123">
        <v>0</v>
      </c>
      <c r="Q111" s="123">
        <v>0</v>
      </c>
      <c r="R111" s="123">
        <v>0</v>
      </c>
      <c r="S111" s="123">
        <v>0</v>
      </c>
      <c r="T111" s="123">
        <v>0</v>
      </c>
      <c r="U111" s="123">
        <v>0</v>
      </c>
      <c r="V111" s="123">
        <v>0</v>
      </c>
      <c r="W111" s="123">
        <v>0</v>
      </c>
      <c r="X111" s="123">
        <v>0</v>
      </c>
      <c r="Y111" s="123">
        <v>0</v>
      </c>
      <c r="Z111" s="123"/>
      <c r="AA111" s="123">
        <v>0</v>
      </c>
      <c r="AB111" s="123">
        <v>0</v>
      </c>
      <c r="AC111" s="123">
        <v>0</v>
      </c>
      <c r="AD111" s="123">
        <v>0</v>
      </c>
      <c r="AE111" s="123">
        <v>0</v>
      </c>
      <c r="AF111" s="123">
        <v>0</v>
      </c>
      <c r="AG111" s="123">
        <v>0</v>
      </c>
      <c r="AH111" s="123">
        <v>0</v>
      </c>
      <c r="AI111" s="123">
        <v>0</v>
      </c>
      <c r="AJ111" s="123">
        <v>0</v>
      </c>
      <c r="AK111" s="123">
        <v>0</v>
      </c>
      <c r="AL111" s="123">
        <v>0</v>
      </c>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c r="B112" s="7" t="s">
        <v>83</v>
      </c>
      <c r="C112" s="26">
        <v>202.83432959591843</v>
      </c>
      <c r="D112" s="26">
        <v>166.79</v>
      </c>
      <c r="E112" s="26">
        <v>33.357999999999997</v>
      </c>
      <c r="F112" s="26">
        <v>200.148</v>
      </c>
      <c r="G112" s="26">
        <v>408.77172835093427</v>
      </c>
      <c r="H112" s="26">
        <v>97.976337447919931</v>
      </c>
      <c r="I112" s="26">
        <v>8643.9829169592449</v>
      </c>
      <c r="J112" s="26">
        <v>51.897924274355788</v>
      </c>
      <c r="K112" s="26">
        <v>148.13817906920514</v>
      </c>
      <c r="L112" s="115">
        <v>0.23968472047510669</v>
      </c>
      <c r="M112" s="26">
        <v>1.9269521793217717</v>
      </c>
      <c r="N112" s="32">
        <v>0</v>
      </c>
      <c r="O112" s="32">
        <v>7.1056578475731987E-3</v>
      </c>
      <c r="P112" s="32">
        <v>0.39123144889494649</v>
      </c>
      <c r="Q112" s="32">
        <v>4.7125933689762363</v>
      </c>
      <c r="R112" s="32">
        <v>18.666356294775785</v>
      </c>
      <c r="S112" s="32">
        <v>24.739082186195535</v>
      </c>
      <c r="T112" s="32">
        <v>23.950488664751425</v>
      </c>
      <c r="U112" s="32">
        <v>24.29321786025622</v>
      </c>
      <c r="V112" s="32">
        <v>11.42052596072611</v>
      </c>
      <c r="W112" s="32">
        <v>6.5671184182777669</v>
      </c>
      <c r="X112" s="32">
        <v>1.8560897945449806</v>
      </c>
      <c r="Y112" s="32">
        <v>1.2718735157065307E-2</v>
      </c>
      <c r="Z112" s="32"/>
      <c r="AA112" s="32">
        <v>0</v>
      </c>
      <c r="AB112" s="32">
        <v>4.8594047123788802E-3</v>
      </c>
      <c r="AC112" s="32">
        <v>0.1442584678494096</v>
      </c>
      <c r="AD112" s="32">
        <v>3.1058103356696116</v>
      </c>
      <c r="AE112" s="32">
        <v>12.103749015925036</v>
      </c>
      <c r="AF112" s="32">
        <v>18.18508801105553</v>
      </c>
      <c r="AG112" s="32">
        <v>20.627212998188707</v>
      </c>
      <c r="AH112" s="32">
        <v>17.666567236747397</v>
      </c>
      <c r="AI112" s="32">
        <v>9.1410119940292507</v>
      </c>
      <c r="AJ112" s="32">
        <v>4.3140223272817666</v>
      </c>
      <c r="AK112" s="32">
        <v>0.91582231238271161</v>
      </c>
      <c r="AL112" s="32">
        <v>9.3991016729704831E-3</v>
      </c>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c r="A113" s="7"/>
      <c r="B113" s="7" t="s">
        <v>86</v>
      </c>
      <c r="C113" s="123">
        <v>0</v>
      </c>
      <c r="D113" s="123">
        <v>0</v>
      </c>
      <c r="E113" s="123">
        <v>0</v>
      </c>
      <c r="F113" s="123">
        <v>0</v>
      </c>
      <c r="G113" s="123">
        <v>0</v>
      </c>
      <c r="H113" s="123">
        <v>0</v>
      </c>
      <c r="I113" s="123">
        <v>0</v>
      </c>
      <c r="J113" s="123">
        <v>0</v>
      </c>
      <c r="K113" s="123">
        <v>0</v>
      </c>
      <c r="L113" s="124">
        <v>0</v>
      </c>
      <c r="M113" s="123">
        <v>0</v>
      </c>
      <c r="N113" s="123">
        <v>0</v>
      </c>
      <c r="O113" s="123">
        <v>0</v>
      </c>
      <c r="P113" s="123">
        <v>0</v>
      </c>
      <c r="Q113" s="123">
        <v>0</v>
      </c>
      <c r="R113" s="123">
        <v>0</v>
      </c>
      <c r="S113" s="123">
        <v>0</v>
      </c>
      <c r="T113" s="123">
        <v>0</v>
      </c>
      <c r="U113" s="123">
        <v>0</v>
      </c>
      <c r="V113" s="123">
        <v>0</v>
      </c>
      <c r="W113" s="123">
        <v>0</v>
      </c>
      <c r="X113" s="123">
        <v>0</v>
      </c>
      <c r="Y113" s="123">
        <v>0</v>
      </c>
      <c r="Z113" s="123"/>
      <c r="AA113" s="123">
        <v>0</v>
      </c>
      <c r="AB113" s="123">
        <v>0</v>
      </c>
      <c r="AC113" s="123">
        <v>0</v>
      </c>
      <c r="AD113" s="123">
        <v>0</v>
      </c>
      <c r="AE113" s="123">
        <v>0</v>
      </c>
      <c r="AF113" s="123">
        <v>0</v>
      </c>
      <c r="AG113" s="123">
        <v>0</v>
      </c>
      <c r="AH113" s="123">
        <v>0</v>
      </c>
      <c r="AI113" s="123">
        <v>0</v>
      </c>
      <c r="AJ113" s="123">
        <v>0</v>
      </c>
      <c r="AK113" s="123">
        <v>0</v>
      </c>
      <c r="AL113" s="123">
        <v>0</v>
      </c>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c r="A114" s="7"/>
      <c r="B114" s="7" t="s">
        <v>89</v>
      </c>
      <c r="C114" s="123">
        <v>0</v>
      </c>
      <c r="D114" s="123">
        <v>0</v>
      </c>
      <c r="E114" s="123">
        <v>0</v>
      </c>
      <c r="F114" s="123">
        <v>0</v>
      </c>
      <c r="G114" s="123">
        <v>0</v>
      </c>
      <c r="H114" s="123">
        <v>0</v>
      </c>
      <c r="I114" s="123">
        <v>0</v>
      </c>
      <c r="J114" s="123">
        <v>0</v>
      </c>
      <c r="K114" s="123">
        <v>0</v>
      </c>
      <c r="L114" s="124">
        <v>0</v>
      </c>
      <c r="M114" s="123">
        <v>0</v>
      </c>
      <c r="N114" s="123">
        <v>0</v>
      </c>
      <c r="O114" s="123">
        <v>0</v>
      </c>
      <c r="P114" s="123">
        <v>0</v>
      </c>
      <c r="Q114" s="123">
        <v>0</v>
      </c>
      <c r="R114" s="123">
        <v>0</v>
      </c>
      <c r="S114" s="123">
        <v>0</v>
      </c>
      <c r="T114" s="123">
        <v>0</v>
      </c>
      <c r="U114" s="123">
        <v>0</v>
      </c>
      <c r="V114" s="123">
        <v>0</v>
      </c>
      <c r="W114" s="123">
        <v>0</v>
      </c>
      <c r="X114" s="123">
        <v>0</v>
      </c>
      <c r="Y114" s="123">
        <v>0</v>
      </c>
      <c r="Z114" s="123"/>
      <c r="AA114" s="123">
        <v>0</v>
      </c>
      <c r="AB114" s="123">
        <v>0</v>
      </c>
      <c r="AC114" s="123">
        <v>0</v>
      </c>
      <c r="AD114" s="123">
        <v>0</v>
      </c>
      <c r="AE114" s="123">
        <v>0</v>
      </c>
      <c r="AF114" s="123">
        <v>0</v>
      </c>
      <c r="AG114" s="123">
        <v>0</v>
      </c>
      <c r="AH114" s="123">
        <v>0</v>
      </c>
      <c r="AI114" s="123">
        <v>0</v>
      </c>
      <c r="AJ114" s="123">
        <v>0</v>
      </c>
      <c r="AK114" s="123">
        <v>0</v>
      </c>
      <c r="AL114" s="123">
        <v>0</v>
      </c>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c r="A115" s="7"/>
      <c r="B115" s="7" t="s">
        <v>92</v>
      </c>
      <c r="C115" s="123">
        <v>0</v>
      </c>
      <c r="D115" s="123">
        <v>0</v>
      </c>
      <c r="E115" s="123">
        <v>0</v>
      </c>
      <c r="F115" s="123">
        <v>0</v>
      </c>
      <c r="G115" s="123">
        <v>0</v>
      </c>
      <c r="H115" s="123">
        <v>0</v>
      </c>
      <c r="I115" s="123">
        <v>0</v>
      </c>
      <c r="J115" s="123">
        <v>0</v>
      </c>
      <c r="K115" s="123">
        <v>0</v>
      </c>
      <c r="L115" s="124">
        <v>0</v>
      </c>
      <c r="M115" s="123">
        <v>0</v>
      </c>
      <c r="N115" s="123">
        <v>0</v>
      </c>
      <c r="O115" s="123">
        <v>0</v>
      </c>
      <c r="P115" s="123">
        <v>0</v>
      </c>
      <c r="Q115" s="123">
        <v>0</v>
      </c>
      <c r="R115" s="123">
        <v>0</v>
      </c>
      <c r="S115" s="123">
        <v>0</v>
      </c>
      <c r="T115" s="123">
        <v>0</v>
      </c>
      <c r="U115" s="123">
        <v>0</v>
      </c>
      <c r="V115" s="123">
        <v>0</v>
      </c>
      <c r="W115" s="123">
        <v>0</v>
      </c>
      <c r="X115" s="123">
        <v>0</v>
      </c>
      <c r="Y115" s="123">
        <v>0</v>
      </c>
      <c r="Z115" s="123"/>
      <c r="AA115" s="123">
        <v>0</v>
      </c>
      <c r="AB115" s="123">
        <v>0</v>
      </c>
      <c r="AC115" s="123">
        <v>0</v>
      </c>
      <c r="AD115" s="123">
        <v>0</v>
      </c>
      <c r="AE115" s="123">
        <v>0</v>
      </c>
      <c r="AF115" s="123">
        <v>0</v>
      </c>
      <c r="AG115" s="123">
        <v>0</v>
      </c>
      <c r="AH115" s="123">
        <v>0</v>
      </c>
      <c r="AI115" s="123">
        <v>0</v>
      </c>
      <c r="AJ115" s="123">
        <v>0</v>
      </c>
      <c r="AK115" s="123">
        <v>0</v>
      </c>
      <c r="AL115" s="123">
        <v>0</v>
      </c>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c r="B116" s="7" t="s">
        <v>95</v>
      </c>
      <c r="C116" s="123">
        <v>0</v>
      </c>
      <c r="D116" s="123">
        <v>0</v>
      </c>
      <c r="E116" s="123">
        <v>0</v>
      </c>
      <c r="F116" s="123">
        <v>0</v>
      </c>
      <c r="G116" s="123">
        <v>0</v>
      </c>
      <c r="H116" s="123">
        <v>0</v>
      </c>
      <c r="I116" s="123">
        <v>0</v>
      </c>
      <c r="J116" s="123">
        <v>0</v>
      </c>
      <c r="K116" s="123">
        <v>0</v>
      </c>
      <c r="L116" s="124">
        <v>0</v>
      </c>
      <c r="M116" s="123">
        <v>0</v>
      </c>
      <c r="N116" s="123">
        <v>0</v>
      </c>
      <c r="O116" s="123">
        <v>0</v>
      </c>
      <c r="P116" s="123">
        <v>0</v>
      </c>
      <c r="Q116" s="123">
        <v>0</v>
      </c>
      <c r="R116" s="123">
        <v>0</v>
      </c>
      <c r="S116" s="123">
        <v>0</v>
      </c>
      <c r="T116" s="123">
        <v>0</v>
      </c>
      <c r="U116" s="123">
        <v>0</v>
      </c>
      <c r="V116" s="123">
        <v>0</v>
      </c>
      <c r="W116" s="123">
        <v>0</v>
      </c>
      <c r="X116" s="123">
        <v>0</v>
      </c>
      <c r="Y116" s="123">
        <v>0</v>
      </c>
      <c r="Z116" s="123"/>
      <c r="AA116" s="123">
        <v>0</v>
      </c>
      <c r="AB116" s="123">
        <v>0</v>
      </c>
      <c r="AC116" s="123">
        <v>0</v>
      </c>
      <c r="AD116" s="123">
        <v>0</v>
      </c>
      <c r="AE116" s="123">
        <v>0</v>
      </c>
      <c r="AF116" s="123">
        <v>0</v>
      </c>
      <c r="AG116" s="123">
        <v>0</v>
      </c>
      <c r="AH116" s="123">
        <v>0</v>
      </c>
      <c r="AI116" s="123">
        <v>0</v>
      </c>
      <c r="AJ116" s="123">
        <v>0</v>
      </c>
      <c r="AK116" s="123">
        <v>0</v>
      </c>
      <c r="AL116" s="123">
        <v>0</v>
      </c>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c r="B117" s="7" t="s">
        <v>98</v>
      </c>
      <c r="C117" s="123">
        <v>0</v>
      </c>
      <c r="D117" s="123">
        <v>0</v>
      </c>
      <c r="E117" s="123">
        <v>0</v>
      </c>
      <c r="F117" s="123">
        <v>0</v>
      </c>
      <c r="G117" s="123">
        <v>0</v>
      </c>
      <c r="H117" s="123">
        <v>0</v>
      </c>
      <c r="I117" s="123">
        <v>0</v>
      </c>
      <c r="J117" s="123">
        <v>0</v>
      </c>
      <c r="K117" s="123">
        <v>0</v>
      </c>
      <c r="L117" s="124">
        <v>0</v>
      </c>
      <c r="M117" s="123">
        <v>0</v>
      </c>
      <c r="N117" s="123">
        <v>0</v>
      </c>
      <c r="O117" s="123">
        <v>0</v>
      </c>
      <c r="P117" s="123">
        <v>0</v>
      </c>
      <c r="Q117" s="123">
        <v>0</v>
      </c>
      <c r="R117" s="123">
        <v>0</v>
      </c>
      <c r="S117" s="123">
        <v>0</v>
      </c>
      <c r="T117" s="123">
        <v>0</v>
      </c>
      <c r="U117" s="123">
        <v>0</v>
      </c>
      <c r="V117" s="123">
        <v>0</v>
      </c>
      <c r="W117" s="123">
        <v>0</v>
      </c>
      <c r="X117" s="123">
        <v>0</v>
      </c>
      <c r="Y117" s="123">
        <v>0</v>
      </c>
      <c r="Z117" s="123"/>
      <c r="AA117" s="123">
        <v>0</v>
      </c>
      <c r="AB117" s="123">
        <v>0</v>
      </c>
      <c r="AC117" s="123">
        <v>0</v>
      </c>
      <c r="AD117" s="123">
        <v>0</v>
      </c>
      <c r="AE117" s="123">
        <v>0</v>
      </c>
      <c r="AF117" s="123">
        <v>0</v>
      </c>
      <c r="AG117" s="123">
        <v>0</v>
      </c>
      <c r="AH117" s="123">
        <v>0</v>
      </c>
      <c r="AI117" s="123">
        <v>0</v>
      </c>
      <c r="AJ117" s="123">
        <v>0</v>
      </c>
      <c r="AK117" s="123">
        <v>0</v>
      </c>
      <c r="AL117" s="123">
        <v>0</v>
      </c>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c r="B118" s="7" t="s">
        <v>101</v>
      </c>
      <c r="C118" s="26">
        <v>257.72032972258603</v>
      </c>
      <c r="D118" s="26">
        <v>341.97227304501308</v>
      </c>
      <c r="E118" s="26">
        <v>68.394454609002622</v>
      </c>
      <c r="F118" s="26">
        <v>410.36672765401568</v>
      </c>
      <c r="G118" s="26">
        <v>716.09602638126341</v>
      </c>
      <c r="H118" s="26">
        <v>124.48826607602712</v>
      </c>
      <c r="I118" s="26">
        <v>13948.501998731286</v>
      </c>
      <c r="J118" s="26">
        <v>83.838592598072097</v>
      </c>
      <c r="K118" s="26">
        <v>204.30161429755307</v>
      </c>
      <c r="L118" s="115">
        <v>0.17384297844120022</v>
      </c>
      <c r="M118" s="26">
        <v>2.448376229032859</v>
      </c>
      <c r="N118" s="32">
        <v>0</v>
      </c>
      <c r="O118" s="32">
        <v>9.0284148990985007E-3</v>
      </c>
      <c r="P118" s="32">
        <v>0.49709680904567954</v>
      </c>
      <c r="Q118" s="32">
        <v>5.9877986104255001</v>
      </c>
      <c r="R118" s="32">
        <v>23.717383090883295</v>
      </c>
      <c r="S118" s="32">
        <v>31.433359583469471</v>
      </c>
      <c r="T118" s="32">
        <v>30.431376424264844</v>
      </c>
      <c r="U118" s="32">
        <v>30.866846501973182</v>
      </c>
      <c r="V118" s="32">
        <v>14.510865700432765</v>
      </c>
      <c r="W118" s="32">
        <v>8.3441492742255754</v>
      </c>
      <c r="X118" s="32">
        <v>2.3583388216275849</v>
      </c>
      <c r="Y118" s="32">
        <v>1.6160364100412508E-2</v>
      </c>
      <c r="Z118" s="32"/>
      <c r="AA118" s="32">
        <v>0</v>
      </c>
      <c r="AB118" s="32">
        <v>6.1743364016570027E-3</v>
      </c>
      <c r="AC118" s="32">
        <v>0.18329411975522436</v>
      </c>
      <c r="AD118" s="32">
        <v>3.9462277680468878</v>
      </c>
      <c r="AE118" s="32">
        <v>15.378965648852358</v>
      </c>
      <c r="AF118" s="32">
        <v>23.105885909846428</v>
      </c>
      <c r="AG118" s="32">
        <v>26.208838246177141</v>
      </c>
      <c r="AH118" s="32">
        <v>22.447055892319693</v>
      </c>
      <c r="AI118" s="32">
        <v>11.614526149456792</v>
      </c>
      <c r="AJ118" s="32">
        <v>5.4813761498488835</v>
      </c>
      <c r="AK118" s="32">
        <v>1.1636394528716065</v>
      </c>
      <c r="AL118" s="32">
        <v>1.1942453661960421E-2</v>
      </c>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c r="A119" s="7"/>
      <c r="B119" s="7"/>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c r="A120" s="7"/>
      <c r="B120" s="7"/>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row r="121" spans="1:131" ht="13.5" thickBot="1">
      <c r="A121" s="24" t="s">
        <v>355</v>
      </c>
      <c r="B121" s="25"/>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row>
    <row r="122" spans="1:131" ht="13.5" thickBot="1">
      <c r="A122" s="33"/>
      <c r="B122" s="34"/>
      <c r="C122" s="35"/>
      <c r="D122" s="35"/>
      <c r="E122" s="35"/>
      <c r="F122" s="35"/>
      <c r="G122" s="35"/>
      <c r="H122" s="35"/>
      <c r="I122" s="35"/>
      <c r="J122" s="35"/>
      <c r="K122" s="35"/>
      <c r="L122" s="35"/>
      <c r="M122" s="35"/>
      <c r="N122" s="35"/>
      <c r="O122" s="36" t="s">
        <v>644</v>
      </c>
      <c r="P122" s="37"/>
      <c r="Q122" s="37"/>
      <c r="R122" s="37"/>
      <c r="S122" s="37"/>
      <c r="T122" s="37"/>
      <c r="U122" s="37"/>
      <c r="V122" s="37"/>
      <c r="W122" s="37"/>
      <c r="X122" s="37"/>
      <c r="Y122" s="37"/>
      <c r="Z122" s="31"/>
      <c r="AA122" s="35"/>
      <c r="AB122" s="36" t="s">
        <v>645</v>
      </c>
      <c r="AC122" s="37"/>
      <c r="AD122" s="37"/>
      <c r="AE122" s="37"/>
      <c r="AF122" s="37"/>
      <c r="AG122" s="37"/>
      <c r="AH122" s="37"/>
      <c r="AI122" s="37"/>
      <c r="AJ122" s="37"/>
      <c r="AK122" s="37"/>
      <c r="AL122" s="37"/>
      <c r="AM122" s="31"/>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row>
    <row r="123" spans="1:131" ht="204">
      <c r="A123" s="27" t="s">
        <v>246</v>
      </c>
      <c r="B123" s="28" t="s">
        <v>247</v>
      </c>
      <c r="C123" s="29" t="s">
        <v>22</v>
      </c>
      <c r="D123" s="29" t="s">
        <v>332</v>
      </c>
      <c r="E123" s="29" t="s">
        <v>333</v>
      </c>
      <c r="F123" s="29" t="s">
        <v>334</v>
      </c>
      <c r="G123" s="29" t="s">
        <v>335</v>
      </c>
      <c r="H123" s="29" t="s">
        <v>336</v>
      </c>
      <c r="I123" s="29" t="s">
        <v>337</v>
      </c>
      <c r="J123" s="29" t="s">
        <v>338</v>
      </c>
      <c r="K123" s="29" t="s">
        <v>21</v>
      </c>
      <c r="L123" s="29" t="s">
        <v>308</v>
      </c>
      <c r="M123" s="29" t="s">
        <v>339</v>
      </c>
      <c r="N123" s="29" t="s">
        <v>646</v>
      </c>
      <c r="O123" s="29" t="s">
        <v>340</v>
      </c>
      <c r="P123" s="29" t="s">
        <v>341</v>
      </c>
      <c r="Q123" s="29" t="s">
        <v>342</v>
      </c>
      <c r="R123" s="29" t="s">
        <v>343</v>
      </c>
      <c r="S123" s="29" t="s">
        <v>344</v>
      </c>
      <c r="T123" s="29" t="s">
        <v>345</v>
      </c>
      <c r="U123" s="29" t="s">
        <v>346</v>
      </c>
      <c r="V123" s="29" t="s">
        <v>347</v>
      </c>
      <c r="W123" s="29" t="s">
        <v>348</v>
      </c>
      <c r="X123" s="29" t="s">
        <v>349</v>
      </c>
      <c r="Y123" s="29" t="s">
        <v>350</v>
      </c>
      <c r="Z123" s="29" t="s">
        <v>351</v>
      </c>
      <c r="AA123" s="29"/>
      <c r="AB123" s="29" t="s">
        <v>340</v>
      </c>
      <c r="AC123" s="29" t="s">
        <v>341</v>
      </c>
      <c r="AD123" s="29" t="s">
        <v>342</v>
      </c>
      <c r="AE123" s="29" t="s">
        <v>343</v>
      </c>
      <c r="AF123" s="29" t="s">
        <v>344</v>
      </c>
      <c r="AG123" s="29" t="s">
        <v>345</v>
      </c>
      <c r="AH123" s="29" t="s">
        <v>346</v>
      </c>
      <c r="AI123" s="29" t="s">
        <v>347</v>
      </c>
      <c r="AJ123" s="29" t="s">
        <v>348</v>
      </c>
      <c r="AK123" s="29" t="s">
        <v>349</v>
      </c>
      <c r="AL123" s="29" t="s">
        <v>350</v>
      </c>
      <c r="AM123" s="29" t="s">
        <v>351</v>
      </c>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row>
    <row r="124" spans="1:131">
      <c r="A124" s="7" t="s">
        <v>457</v>
      </c>
      <c r="B124" s="7"/>
      <c r="C124" s="32">
        <v>475.8558221289847</v>
      </c>
      <c r="D124" s="32">
        <v>24.056249999999999</v>
      </c>
      <c r="E124" s="32">
        <v>4.8112500000000002</v>
      </c>
      <c r="F124" s="32">
        <v>28.8675</v>
      </c>
      <c r="G124" s="32">
        <v>58.711868107937185</v>
      </c>
      <c r="H124" s="32">
        <v>229.85562009324167</v>
      </c>
      <c r="I124" s="32">
        <v>531.41999790738078</v>
      </c>
      <c r="J124" s="32">
        <v>3.0488811361882551</v>
      </c>
      <c r="K124" s="32">
        <v>8.927621509866329</v>
      </c>
      <c r="L124" s="30">
        <v>3.9149771162223974</v>
      </c>
      <c r="M124" s="32">
        <v>4.520691420042799</v>
      </c>
      <c r="N124" s="32">
        <v>1.2656936613806523E-3</v>
      </c>
      <c r="O124" s="32">
        <v>0</v>
      </c>
      <c r="P124" s="32">
        <v>1.6670100488217633E-2</v>
      </c>
      <c r="Q124" s="32">
        <v>0.91784148732367676</v>
      </c>
      <c r="R124" s="32">
        <v>11.055894711813686</v>
      </c>
      <c r="S124" s="32">
        <v>43.791868657039302</v>
      </c>
      <c r="T124" s="32">
        <v>58.038677751842876</v>
      </c>
      <c r="U124" s="32">
        <v>56.188612138098122</v>
      </c>
      <c r="V124" s="32">
        <v>56.992665788283695</v>
      </c>
      <c r="W124" s="32">
        <v>26.792919034037585</v>
      </c>
      <c r="X124" s="32">
        <v>15.406669769232435</v>
      </c>
      <c r="Y124" s="32">
        <v>4.354445999786976</v>
      </c>
      <c r="Z124" s="32">
        <v>2.983855931421148E-2</v>
      </c>
      <c r="AA124" s="32"/>
      <c r="AB124" s="32">
        <v>0</v>
      </c>
      <c r="AC124" s="32">
        <v>1.1400318817200092E-2</v>
      </c>
      <c r="AD124" s="32">
        <v>0.33843497771952041</v>
      </c>
      <c r="AE124" s="32">
        <v>7.2863303445774337</v>
      </c>
      <c r="AF124" s="32">
        <v>28.395782165130083</v>
      </c>
      <c r="AG124" s="32">
        <v>42.662797876612025</v>
      </c>
      <c r="AH124" s="32">
        <v>48.392101174574947</v>
      </c>
      <c r="AI124" s="32">
        <v>41.446331562251402</v>
      </c>
      <c r="AJ124" s="32">
        <v>21.445106388919818</v>
      </c>
      <c r="AK124" s="32">
        <v>10.120834305125289</v>
      </c>
      <c r="AL124" s="32">
        <v>2.1485484249689484</v>
      </c>
      <c r="AM124" s="26">
        <v>2.2050593027203646E-2</v>
      </c>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row>
    <row r="125" spans="1:131">
      <c r="A125" s="7" t="s">
        <v>461</v>
      </c>
      <c r="B125" s="7"/>
      <c r="C125" s="32">
        <v>724.6747995450213</v>
      </c>
      <c r="D125" s="32">
        <v>64.150000000000006</v>
      </c>
      <c r="E125" s="32">
        <v>12.830000000000002</v>
      </c>
      <c r="F125" s="32">
        <v>76.98</v>
      </c>
      <c r="G125" s="32">
        <v>132.07125797065714</v>
      </c>
      <c r="H125" s="32">
        <v>350.04421017720836</v>
      </c>
      <c r="I125" s="32">
        <v>930.54815818540908</v>
      </c>
      <c r="J125" s="32">
        <v>5.4521942338643594</v>
      </c>
      <c r="K125" s="32">
        <v>13.25918550067858</v>
      </c>
      <c r="L125" s="30">
        <v>2.6504192930075612</v>
      </c>
      <c r="M125" s="32">
        <v>6.88450365904405</v>
      </c>
      <c r="N125" s="32">
        <v>1.9275088329124388E-3</v>
      </c>
      <c r="O125" s="32">
        <v>0</v>
      </c>
      <c r="P125" s="32">
        <v>2.5386684722373709E-2</v>
      </c>
      <c r="Q125" s="32">
        <v>1.3977691664348257</v>
      </c>
      <c r="R125" s="32">
        <v>16.836881911476841</v>
      </c>
      <c r="S125" s="32">
        <v>66.690081669610962</v>
      </c>
      <c r="T125" s="32">
        <v>88.386366646732625</v>
      </c>
      <c r="U125" s="32">
        <v>85.568925175096695</v>
      </c>
      <c r="V125" s="32">
        <v>86.79340828673493</v>
      </c>
      <c r="W125" s="32">
        <v>40.802596768384738</v>
      </c>
      <c r="X125" s="32">
        <v>23.46262209575012</v>
      </c>
      <c r="Y125" s="32">
        <v>6.6313306158727778</v>
      </c>
      <c r="Z125" s="32">
        <v>4.5440763744353789E-2</v>
      </c>
      <c r="AA125" s="32"/>
      <c r="AB125" s="32">
        <v>0</v>
      </c>
      <c r="AC125" s="32">
        <v>1.7361401015630436E-2</v>
      </c>
      <c r="AD125" s="32">
        <v>0.51539833754821374</v>
      </c>
      <c r="AE125" s="32">
        <v>11.096260119823038</v>
      </c>
      <c r="AF125" s="32">
        <v>43.243576712742154</v>
      </c>
      <c r="AG125" s="32">
        <v>64.97063409026309</v>
      </c>
      <c r="AH125" s="32">
        <v>73.695717457759443</v>
      </c>
      <c r="AI125" s="32">
        <v>63.11809296011883</v>
      </c>
      <c r="AJ125" s="32">
        <v>32.65848068030926</v>
      </c>
      <c r="AK125" s="32">
        <v>15.412890271009475</v>
      </c>
      <c r="AL125" s="32">
        <v>3.2719971612643342</v>
      </c>
      <c r="AM125" s="26">
        <v>3.358056860656896E-2</v>
      </c>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row>
    <row r="126" spans="1:131">
      <c r="A126" s="7" t="s">
        <v>458</v>
      </c>
      <c r="B126" s="7"/>
      <c r="C126" s="32">
        <v>287.81138859551851</v>
      </c>
      <c r="D126" s="32">
        <v>24.056249999999999</v>
      </c>
      <c r="E126" s="32">
        <v>4.8112500000000002</v>
      </c>
      <c r="F126" s="32">
        <v>28.8675</v>
      </c>
      <c r="G126" s="32">
        <v>55.498807416402428</v>
      </c>
      <c r="H126" s="32">
        <v>139.02333883305511</v>
      </c>
      <c r="I126" s="32">
        <v>878.62853945431937</v>
      </c>
      <c r="J126" s="32">
        <v>5.1395650782671716</v>
      </c>
      <c r="K126" s="32">
        <v>14.037789073160434</v>
      </c>
      <c r="L126" s="30">
        <v>2.5049788509863973</v>
      </c>
      <c r="M126" s="32">
        <v>2.7342451526455993</v>
      </c>
      <c r="N126" s="32">
        <v>7.6552819841252276E-4</v>
      </c>
      <c r="O126" s="32">
        <v>0</v>
      </c>
      <c r="P126" s="32">
        <v>1.008255977214933E-2</v>
      </c>
      <c r="Q126" s="32">
        <v>0.55513712492856548</v>
      </c>
      <c r="R126" s="32">
        <v>6.6869254534631617</v>
      </c>
      <c r="S126" s="32">
        <v>26.48659098250705</v>
      </c>
      <c r="T126" s="32">
        <v>35.10347390785504</v>
      </c>
      <c r="U126" s="32">
        <v>33.984500621151476</v>
      </c>
      <c r="V126" s="32">
        <v>34.47081556530798</v>
      </c>
      <c r="W126" s="32">
        <v>16.205133725617088</v>
      </c>
      <c r="X126" s="32">
        <v>9.3184002668637156</v>
      </c>
      <c r="Y126" s="32">
        <v>2.6336951057061651</v>
      </c>
      <c r="Z126" s="32">
        <v>1.8047225210969745E-2</v>
      </c>
      <c r="AA126" s="32"/>
      <c r="AB126" s="32">
        <v>0</v>
      </c>
      <c r="AC126" s="32">
        <v>6.895243131690835E-3</v>
      </c>
      <c r="AD126" s="32">
        <v>0.20469528028669567</v>
      </c>
      <c r="AE126" s="32">
        <v>4.406983705392304</v>
      </c>
      <c r="AF126" s="32">
        <v>17.174591788406634</v>
      </c>
      <c r="AG126" s="32">
        <v>25.803696260985042</v>
      </c>
      <c r="AH126" s="32">
        <v>29.268944895527603</v>
      </c>
      <c r="AI126" s="32">
        <v>25.067942188355659</v>
      </c>
      <c r="AJ126" s="32">
        <v>12.970621691165579</v>
      </c>
      <c r="AK126" s="32">
        <v>6.1213738272045468</v>
      </c>
      <c r="AL126" s="32">
        <v>1.2995043391260872</v>
      </c>
      <c r="AM126" s="26">
        <v>1.3336837553274469E-2</v>
      </c>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row>
    <row r="127" spans="1:131">
      <c r="A127" s="7" t="s">
        <v>463</v>
      </c>
      <c r="B127" s="7"/>
      <c r="C127" s="32">
        <v>429.10735973962136</v>
      </c>
      <c r="D127" s="32">
        <v>49.322923996876881</v>
      </c>
      <c r="E127" s="32">
        <v>9.8645847993753772</v>
      </c>
      <c r="F127" s="32">
        <v>59.18750879625226</v>
      </c>
      <c r="G127" s="32">
        <v>101.54545002429683</v>
      </c>
      <c r="H127" s="32">
        <v>207.27441731875922</v>
      </c>
      <c r="I127" s="32">
        <v>1208.2817161881831</v>
      </c>
      <c r="J127" s="32">
        <v>7.1245410237959286</v>
      </c>
      <c r="K127" s="32">
        <v>17.261624981414094</v>
      </c>
      <c r="L127" s="30">
        <v>2.0411984709227697</v>
      </c>
      <c r="M127" s="32">
        <v>4.0765750238657521</v>
      </c>
      <c r="N127" s="32">
        <v>1.1413508882676007E-3</v>
      </c>
      <c r="O127" s="32">
        <v>0</v>
      </c>
      <c r="P127" s="32">
        <v>1.503241627913568E-2</v>
      </c>
      <c r="Q127" s="32">
        <v>0.82767199426676985</v>
      </c>
      <c r="R127" s="32">
        <v>9.9697546372768056</v>
      </c>
      <c r="S127" s="32">
        <v>39.489719918553064</v>
      </c>
      <c r="T127" s="32">
        <v>52.336910918621349</v>
      </c>
      <c r="U127" s="32">
        <v>50.668597253134905</v>
      </c>
      <c r="V127" s="32">
        <v>51.393660019786552</v>
      </c>
      <c r="W127" s="32">
        <v>24.160760910679677</v>
      </c>
      <c r="X127" s="32">
        <v>13.893106019964959</v>
      </c>
      <c r="Y127" s="32">
        <v>3.9266616886970982</v>
      </c>
      <c r="Z127" s="32">
        <v>2.690719501648707E-2</v>
      </c>
      <c r="AA127" s="32"/>
      <c r="AB127" s="32">
        <v>0</v>
      </c>
      <c r="AC127" s="32">
        <v>1.0280342238857062E-2</v>
      </c>
      <c r="AD127" s="32">
        <v>0.30518685067889434</v>
      </c>
      <c r="AE127" s="32">
        <v>6.5705153345897527</v>
      </c>
      <c r="AF127" s="32">
        <v>25.606157466152837</v>
      </c>
      <c r="AG127" s="32">
        <v>38.471569968468025</v>
      </c>
      <c r="AH127" s="32">
        <v>43.63802185790184</v>
      </c>
      <c r="AI127" s="32">
        <v>37.374610292673651</v>
      </c>
      <c r="AJ127" s="32">
        <v>19.338321722562263</v>
      </c>
      <c r="AK127" s="32">
        <v>9.1265553242664996</v>
      </c>
      <c r="AL127" s="32">
        <v>1.9374732829500674</v>
      </c>
      <c r="AM127" s="26">
        <v>1.9884324861809691E-2</v>
      </c>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row>
    <row r="128" spans="1:131">
      <c r="A128" s="7" t="s">
        <v>460</v>
      </c>
      <c r="B128" s="7"/>
      <c r="C128" s="32">
        <v>501.3959711335944</v>
      </c>
      <c r="D128" s="32">
        <v>64.150000000000006</v>
      </c>
      <c r="E128" s="32">
        <v>12.830000000000002</v>
      </c>
      <c r="F128" s="32">
        <v>76.98</v>
      </c>
      <c r="G128" s="32">
        <v>132.07125797065714</v>
      </c>
      <c r="H128" s="32">
        <v>242.19243833466521</v>
      </c>
      <c r="I128" s="32">
        <v>1344.9346201872936</v>
      </c>
      <c r="J128" s="32">
        <v>7.9473837763287651</v>
      </c>
      <c r="K128" s="32">
        <v>19.230940400322673</v>
      </c>
      <c r="L128" s="30">
        <v>1.8338012528696757</v>
      </c>
      <c r="M128" s="32">
        <v>4.7633261154746762</v>
      </c>
      <c r="N128" s="32">
        <v>1.3336260123209538E-3</v>
      </c>
      <c r="O128" s="32">
        <v>0</v>
      </c>
      <c r="P128" s="32">
        <v>1.7564818658284471E-2</v>
      </c>
      <c r="Q128" s="32">
        <v>0.96710390517953138</v>
      </c>
      <c r="R128" s="32">
        <v>11.649287048710342</v>
      </c>
      <c r="S128" s="32">
        <v>46.142267241398564</v>
      </c>
      <c r="T128" s="32">
        <v>61.153731532588253</v>
      </c>
      <c r="U128" s="32">
        <v>59.204369137663136</v>
      </c>
      <c r="V128" s="32">
        <v>60.051577981246488</v>
      </c>
      <c r="W128" s="32">
        <v>28.230949446981192</v>
      </c>
      <c r="X128" s="32">
        <v>16.233577045076071</v>
      </c>
      <c r="Y128" s="32">
        <v>4.5881579656709217</v>
      </c>
      <c r="Z128" s="32">
        <v>3.1440055430321363E-2</v>
      </c>
      <c r="AA128" s="32"/>
      <c r="AB128" s="32">
        <v>0</v>
      </c>
      <c r="AC128" s="32">
        <v>1.2012197095769148E-2</v>
      </c>
      <c r="AD128" s="32">
        <v>0.35659947073897402</v>
      </c>
      <c r="AE128" s="32">
        <v>7.6774025014015947</v>
      </c>
      <c r="AF128" s="32">
        <v>29.919841499646914</v>
      </c>
      <c r="AG128" s="32">
        <v>44.952596937695844</v>
      </c>
      <c r="AH128" s="32">
        <v>50.989403586711411</v>
      </c>
      <c r="AI128" s="32">
        <v>43.670840404148962</v>
      </c>
      <c r="AJ128" s="32">
        <v>22.596108829411673</v>
      </c>
      <c r="AK128" s="32">
        <v>10.664040049771616</v>
      </c>
      <c r="AL128" s="32">
        <v>2.263865385202446</v>
      </c>
      <c r="AM128" s="26">
        <v>2.3234093166037997E-2</v>
      </c>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row>
    <row r="129" spans="1:131">
      <c r="A129" s="7" t="s">
        <v>462</v>
      </c>
      <c r="B129" s="7"/>
      <c r="C129" s="32">
        <v>166.60065195306746</v>
      </c>
      <c r="D129" s="32">
        <v>24.056249999999999</v>
      </c>
      <c r="E129" s="32">
        <v>4.8112500000000002</v>
      </c>
      <c r="F129" s="32">
        <v>28.8675</v>
      </c>
      <c r="G129" s="32">
        <v>55.402679642468442</v>
      </c>
      <c r="H129" s="32">
        <v>80.47415704883548</v>
      </c>
      <c r="I129" s="32">
        <v>1517.87701329787</v>
      </c>
      <c r="J129" s="32">
        <v>8.9887403125765992</v>
      </c>
      <c r="K129" s="32">
        <v>24.318433949444213</v>
      </c>
      <c r="L129" s="30">
        <v>1.4525318552850053</v>
      </c>
      <c r="M129" s="32">
        <v>1.5827275885543786</v>
      </c>
      <c r="N129" s="32">
        <v>4.4312873637957688E-4</v>
      </c>
      <c r="O129" s="32">
        <v>0</v>
      </c>
      <c r="P129" s="32">
        <v>5.8363257951426504E-3</v>
      </c>
      <c r="Q129" s="32">
        <v>0.32134311080520794</v>
      </c>
      <c r="R129" s="32">
        <v>3.8707507216615777</v>
      </c>
      <c r="S129" s="32">
        <v>15.331857947780396</v>
      </c>
      <c r="T129" s="32">
        <v>20.31977145659484</v>
      </c>
      <c r="U129" s="32">
        <v>19.672049766384479</v>
      </c>
      <c r="V129" s="32">
        <v>19.953554911633809</v>
      </c>
      <c r="W129" s="32">
        <v>9.3803996320265348</v>
      </c>
      <c r="X129" s="32">
        <v>5.3939893316761758</v>
      </c>
      <c r="Y129" s="32">
        <v>1.5245238341589453</v>
      </c>
      <c r="Z129" s="32">
        <v>1.0446700878528795E-2</v>
      </c>
      <c r="AA129" s="32"/>
      <c r="AB129" s="32">
        <v>0</v>
      </c>
      <c r="AC129" s="32">
        <v>3.9913361549741358E-3</v>
      </c>
      <c r="AD129" s="32">
        <v>0.11848859530505175</v>
      </c>
      <c r="AE129" s="32">
        <v>2.5509982841461993</v>
      </c>
      <c r="AF129" s="32">
        <v>9.9415738999735233</v>
      </c>
      <c r="AG129" s="32">
        <v>14.936561895125701</v>
      </c>
      <c r="AH129" s="32">
        <v>16.942433464390131</v>
      </c>
      <c r="AI129" s="32">
        <v>14.510668017974627</v>
      </c>
      <c r="AJ129" s="32">
        <v>7.5080907692004768</v>
      </c>
      <c r="AK129" s="32">
        <v>3.5433791395028931</v>
      </c>
      <c r="AL129" s="32">
        <v>0.75222273576709087</v>
      </c>
      <c r="AM129" s="26">
        <v>7.7200761311440229E-3</v>
      </c>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row>
    <row r="130" spans="1:131">
      <c r="A130" s="7" t="s">
        <v>467</v>
      </c>
      <c r="B130" s="7"/>
      <c r="C130" s="32">
        <v>431.17402560129892</v>
      </c>
      <c r="D130" s="32">
        <v>48.908368968785467</v>
      </c>
      <c r="E130" s="32">
        <v>9.7816737937570934</v>
      </c>
      <c r="F130" s="32">
        <v>58.690042762542561</v>
      </c>
      <c r="G130" s="32">
        <v>166.07842668413218</v>
      </c>
      <c r="H130" s="32">
        <v>208.27269188233652</v>
      </c>
      <c r="I130" s="32">
        <v>1192.3834555731737</v>
      </c>
      <c r="J130" s="32">
        <v>7.0288111260615667</v>
      </c>
      <c r="K130" s="32">
        <v>28.191001493484816</v>
      </c>
      <c r="L130" s="30">
        <v>1.254062288767068</v>
      </c>
      <c r="M130" s="32">
        <v>4.0962086149547092</v>
      </c>
      <c r="N130" s="32">
        <v>1.1468478597444107E-3</v>
      </c>
      <c r="O130" s="32">
        <v>0</v>
      </c>
      <c r="P130" s="32">
        <v>1.5104815367236773E-2</v>
      </c>
      <c r="Q130" s="32">
        <v>0.8316582261884401</v>
      </c>
      <c r="R130" s="32">
        <v>10.017770946227238</v>
      </c>
      <c r="S130" s="32">
        <v>39.679910215201446</v>
      </c>
      <c r="T130" s="32">
        <v>52.588975826496174</v>
      </c>
      <c r="U130" s="32">
        <v>50.912627232638599</v>
      </c>
      <c r="V130" s="32">
        <v>51.64118204489003</v>
      </c>
      <c r="W130" s="32">
        <v>24.277123910830863</v>
      </c>
      <c r="X130" s="32">
        <v>13.96001796466232</v>
      </c>
      <c r="Y130" s="32">
        <v>3.9455732675320823</v>
      </c>
      <c r="Z130" s="32">
        <v>2.7036785386150775E-2</v>
      </c>
      <c r="AA130" s="32"/>
      <c r="AB130" s="32">
        <v>0</v>
      </c>
      <c r="AC130" s="32">
        <v>1.0329854399087313E-2</v>
      </c>
      <c r="AD130" s="32">
        <v>0.3066566908748623</v>
      </c>
      <c r="AE130" s="32">
        <v>6.602160235166302</v>
      </c>
      <c r="AF130" s="32">
        <v>25.729481781811625</v>
      </c>
      <c r="AG130" s="32">
        <v>38.656856653709731</v>
      </c>
      <c r="AH130" s="32">
        <v>43.848191196641665</v>
      </c>
      <c r="AI130" s="32">
        <v>37.554613803292163</v>
      </c>
      <c r="AJ130" s="32">
        <v>19.431458902382268</v>
      </c>
      <c r="AK130" s="32">
        <v>9.170510618659069</v>
      </c>
      <c r="AL130" s="32">
        <v>1.94680453724087</v>
      </c>
      <c r="AM130" s="26">
        <v>1.9980091700671051E-2</v>
      </c>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row>
    <row r="131" spans="1:131">
      <c r="A131" s="7" t="s">
        <v>464</v>
      </c>
      <c r="B131" s="7"/>
      <c r="C131" s="32">
        <v>286.81995996501684</v>
      </c>
      <c r="D131" s="32">
        <v>64.150000000000006</v>
      </c>
      <c r="E131" s="32">
        <v>12.830000000000002</v>
      </c>
      <c r="F131" s="32">
        <v>76.98</v>
      </c>
      <c r="G131" s="32">
        <v>132.07125797065714</v>
      </c>
      <c r="H131" s="32">
        <v>138.54444284808514</v>
      </c>
      <c r="I131" s="32">
        <v>2351.1083401665956</v>
      </c>
      <c r="J131" s="32">
        <v>14.005965255719461</v>
      </c>
      <c r="K131" s="32">
        <v>33.730986596697171</v>
      </c>
      <c r="L131" s="30">
        <v>1.0490128206310125</v>
      </c>
      <c r="M131" s="32">
        <v>2.7248264533357101</v>
      </c>
      <c r="N131" s="32">
        <v>7.6289117081932648E-4</v>
      </c>
      <c r="O131" s="32">
        <v>0</v>
      </c>
      <c r="P131" s="32">
        <v>1.0047828212444092E-2</v>
      </c>
      <c r="Q131" s="32">
        <v>0.55322483493130603</v>
      </c>
      <c r="R131" s="32">
        <v>6.6638908912210448</v>
      </c>
      <c r="S131" s="32">
        <v>26.395352186319769</v>
      </c>
      <c r="T131" s="32">
        <v>34.98255239313616</v>
      </c>
      <c r="U131" s="32">
        <v>33.867433652142608</v>
      </c>
      <c r="V131" s="32">
        <v>34.35207337920145</v>
      </c>
      <c r="W131" s="32">
        <v>16.149311634576542</v>
      </c>
      <c r="X131" s="32">
        <v>9.2863010199919156</v>
      </c>
      <c r="Y131" s="32">
        <v>2.6246227727990097</v>
      </c>
      <c r="Z131" s="32">
        <v>1.7985057637050661E-2</v>
      </c>
      <c r="AA131" s="32"/>
      <c r="AB131" s="32">
        <v>0</v>
      </c>
      <c r="AC131" s="32">
        <v>6.8714909741115692E-3</v>
      </c>
      <c r="AD131" s="32">
        <v>0.20399016308339418</v>
      </c>
      <c r="AE131" s="32">
        <v>4.3918028960400353</v>
      </c>
      <c r="AF131" s="32">
        <v>17.115430189210379</v>
      </c>
      <c r="AG131" s="32">
        <v>25.714809843492155</v>
      </c>
      <c r="AH131" s="32">
        <v>29.168121678991227</v>
      </c>
      <c r="AI131" s="32">
        <v>24.981590235034506</v>
      </c>
      <c r="AJ131" s="32">
        <v>12.925941577001995</v>
      </c>
      <c r="AK131" s="32">
        <v>6.1002874299639451</v>
      </c>
      <c r="AL131" s="32">
        <v>1.295027915126475</v>
      </c>
      <c r="AM131" s="26">
        <v>1.3290895929299162E-2</v>
      </c>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row>
    <row r="132" spans="1:131">
      <c r="A132" s="7" t="s">
        <v>469</v>
      </c>
      <c r="B132" s="7"/>
      <c r="C132" s="32">
        <v>419.25144960011363</v>
      </c>
      <c r="D132" s="32">
        <v>78.916678395003004</v>
      </c>
      <c r="E132" s="32">
        <v>15.783335679000601</v>
      </c>
      <c r="F132" s="32">
        <v>94.700014074003604</v>
      </c>
      <c r="G132" s="32">
        <v>227.85917766610063</v>
      </c>
      <c r="H132" s="32">
        <v>202.5136552741462</v>
      </c>
      <c r="I132" s="32">
        <v>1978.698282568912</v>
      </c>
      <c r="J132" s="32">
        <v>11.763532728514758</v>
      </c>
      <c r="K132" s="32">
        <v>39.839966914364851</v>
      </c>
      <c r="L132" s="115">
        <v>0.88876672578404914</v>
      </c>
      <c r="M132" s="32">
        <v>3.9829426118359033</v>
      </c>
      <c r="N132" s="32">
        <v>1.1151358827751789E-3</v>
      </c>
      <c r="O132" s="32">
        <v>0</v>
      </c>
      <c r="P132" s="32">
        <v>1.4687145706016787E-2</v>
      </c>
      <c r="Q132" s="32">
        <v>0.80866169156436385</v>
      </c>
      <c r="R132" s="32">
        <v>9.7407653095767071</v>
      </c>
      <c r="S132" s="32">
        <v>38.582704175015706</v>
      </c>
      <c r="T132" s="32">
        <v>51.134815733616016</v>
      </c>
      <c r="U132" s="32">
        <v>49.504820566282397</v>
      </c>
      <c r="V132" s="32">
        <v>50.213229800172549</v>
      </c>
      <c r="W132" s="32">
        <v>23.605826852726715</v>
      </c>
      <c r="X132" s="32">
        <v>13.574003582350009</v>
      </c>
      <c r="Y132" s="32">
        <v>3.8364725463446354</v>
      </c>
      <c r="Z132" s="32">
        <v>2.6289179757206446E-2</v>
      </c>
      <c r="AA132" s="32"/>
      <c r="AB132" s="32">
        <v>0</v>
      </c>
      <c r="AC132" s="32">
        <v>1.0044219210412521E-2</v>
      </c>
      <c r="AD132" s="32">
        <v>0.29817719654973729</v>
      </c>
      <c r="AE132" s="32">
        <v>6.4196011001024464</v>
      </c>
      <c r="AF132" s="32">
        <v>25.018024959738536</v>
      </c>
      <c r="AG132" s="32">
        <v>37.5879395018056</v>
      </c>
      <c r="AH132" s="32">
        <v>42.635726249739051</v>
      </c>
      <c r="AI132" s="32">
        <v>36.516175236311</v>
      </c>
      <c r="AJ132" s="32">
        <v>18.894151384253181</v>
      </c>
      <c r="AK132" s="32">
        <v>8.916932936960448</v>
      </c>
      <c r="AL132" s="32">
        <v>1.8929726186267151</v>
      </c>
      <c r="AM132" s="26">
        <v>1.9427613704159789E-2</v>
      </c>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row>
    <row r="133" spans="1:131">
      <c r="A133" s="7" t="s">
        <v>465</v>
      </c>
      <c r="B133" s="7"/>
      <c r="C133" s="32">
        <v>431.17402560129892</v>
      </c>
      <c r="D133" s="32">
        <v>18.340638363294548</v>
      </c>
      <c r="E133" s="32">
        <v>3.66812767265891</v>
      </c>
      <c r="F133" s="32">
        <v>22.008766035953457</v>
      </c>
      <c r="G133" s="32">
        <v>246.99615280346234</v>
      </c>
      <c r="H133" s="32">
        <v>208.27269188233652</v>
      </c>
      <c r="I133" s="32">
        <v>447.14379583994008</v>
      </c>
      <c r="J133" s="32">
        <v>2.5414198232355649</v>
      </c>
      <c r="K133" s="32">
        <v>41.999968562337358</v>
      </c>
      <c r="L133" s="115">
        <v>0.84322241265053821</v>
      </c>
      <c r="M133" s="32">
        <v>4.0962086149547092</v>
      </c>
      <c r="N133" s="32">
        <v>1.1468478597444107E-3</v>
      </c>
      <c r="O133" s="32">
        <v>0</v>
      </c>
      <c r="P133" s="32">
        <v>1.5104815367236773E-2</v>
      </c>
      <c r="Q133" s="32">
        <v>0.8316582261884401</v>
      </c>
      <c r="R133" s="32">
        <v>10.017770946227238</v>
      </c>
      <c r="S133" s="32">
        <v>39.679910215201446</v>
      </c>
      <c r="T133" s="32">
        <v>52.588975826496174</v>
      </c>
      <c r="U133" s="32">
        <v>50.912627232638599</v>
      </c>
      <c r="V133" s="32">
        <v>51.64118204489003</v>
      </c>
      <c r="W133" s="32">
        <v>24.277123910830863</v>
      </c>
      <c r="X133" s="32">
        <v>13.96001796466232</v>
      </c>
      <c r="Y133" s="32">
        <v>3.9455732675320823</v>
      </c>
      <c r="Z133" s="32">
        <v>2.7036785386150775E-2</v>
      </c>
      <c r="AA133" s="32"/>
      <c r="AB133" s="32">
        <v>0</v>
      </c>
      <c r="AC133" s="32">
        <v>1.0329854399087313E-2</v>
      </c>
      <c r="AD133" s="32">
        <v>0.3066566908748623</v>
      </c>
      <c r="AE133" s="32">
        <v>6.602160235166302</v>
      </c>
      <c r="AF133" s="32">
        <v>25.729481781811625</v>
      </c>
      <c r="AG133" s="32">
        <v>38.656856653709731</v>
      </c>
      <c r="AH133" s="32">
        <v>43.848191196641665</v>
      </c>
      <c r="AI133" s="32">
        <v>37.554613803292163</v>
      </c>
      <c r="AJ133" s="32">
        <v>19.431458902382268</v>
      </c>
      <c r="AK133" s="32">
        <v>9.170510618659069</v>
      </c>
      <c r="AL133" s="32">
        <v>1.94680453724087</v>
      </c>
      <c r="AM133" s="26">
        <v>1.9980091700671051E-2</v>
      </c>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row>
    <row r="134" spans="1:131">
      <c r="A134" s="7" t="s">
        <v>466</v>
      </c>
      <c r="B134" s="7"/>
      <c r="C134" s="32">
        <v>419.25144960011363</v>
      </c>
      <c r="D134" s="32">
        <v>38.489999999999995</v>
      </c>
      <c r="E134" s="32">
        <v>7.6979999999999995</v>
      </c>
      <c r="F134" s="32">
        <v>46.187999999999995</v>
      </c>
      <c r="G134" s="32">
        <v>288.47941918951665</v>
      </c>
      <c r="H134" s="32">
        <v>202.5136552741462</v>
      </c>
      <c r="I134" s="32">
        <v>965.06972220589375</v>
      </c>
      <c r="J134" s="32">
        <v>5.6600626210633571</v>
      </c>
      <c r="K134" s="32">
        <v>50.479270561118348</v>
      </c>
      <c r="L134" s="115">
        <v>0.70200382350709323</v>
      </c>
      <c r="M134" s="32">
        <v>3.9829426118359033</v>
      </c>
      <c r="N134" s="32">
        <v>1.1151358827751789E-3</v>
      </c>
      <c r="O134" s="32">
        <v>0</v>
      </c>
      <c r="P134" s="32">
        <v>1.4687145706016787E-2</v>
      </c>
      <c r="Q134" s="32">
        <v>0.80866169156436385</v>
      </c>
      <c r="R134" s="32">
        <v>9.7407653095767071</v>
      </c>
      <c r="S134" s="32">
        <v>38.582704175015706</v>
      </c>
      <c r="T134" s="32">
        <v>51.134815733616016</v>
      </c>
      <c r="U134" s="32">
        <v>49.504820566282397</v>
      </c>
      <c r="V134" s="32">
        <v>50.213229800172549</v>
      </c>
      <c r="W134" s="32">
        <v>23.605826852726715</v>
      </c>
      <c r="X134" s="32">
        <v>13.574003582350009</v>
      </c>
      <c r="Y134" s="32">
        <v>3.8364725463446354</v>
      </c>
      <c r="Z134" s="32">
        <v>2.6289179757206446E-2</v>
      </c>
      <c r="AA134" s="32"/>
      <c r="AB134" s="32">
        <v>0</v>
      </c>
      <c r="AC134" s="32">
        <v>1.0044219210412521E-2</v>
      </c>
      <c r="AD134" s="32">
        <v>0.29817719654973729</v>
      </c>
      <c r="AE134" s="32">
        <v>6.4196011001024464</v>
      </c>
      <c r="AF134" s="32">
        <v>25.018024959738536</v>
      </c>
      <c r="AG134" s="32">
        <v>37.5879395018056</v>
      </c>
      <c r="AH134" s="32">
        <v>42.635726249739051</v>
      </c>
      <c r="AI134" s="32">
        <v>36.516175236311</v>
      </c>
      <c r="AJ134" s="32">
        <v>18.894151384253181</v>
      </c>
      <c r="AK134" s="32">
        <v>8.916932936960448</v>
      </c>
      <c r="AL134" s="32">
        <v>1.8929726186267151</v>
      </c>
      <c r="AM134" s="26">
        <v>1.9427613704159789E-2</v>
      </c>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row>
    <row r="135" spans="1:131">
      <c r="A135" s="7" t="s">
        <v>468</v>
      </c>
      <c r="B135" s="7"/>
      <c r="C135" s="32">
        <v>272.53397519140287</v>
      </c>
      <c r="D135" s="32">
        <v>38.489999999999995</v>
      </c>
      <c r="E135" s="32">
        <v>7.6979999999999995</v>
      </c>
      <c r="F135" s="32">
        <v>46.187999999999995</v>
      </c>
      <c r="G135" s="32">
        <v>288.47941918951665</v>
      </c>
      <c r="H135" s="32">
        <v>131.64379408836143</v>
      </c>
      <c r="I135" s="32">
        <v>1484.6107892267053</v>
      </c>
      <c r="J135" s="32">
        <v>8.7884308381341878</v>
      </c>
      <c r="K135" s="32">
        <v>77.735863486119598</v>
      </c>
      <c r="L135" s="115">
        <v>0.45633686610370633</v>
      </c>
      <c r="M135" s="32">
        <v>2.5891077633678172</v>
      </c>
      <c r="N135" s="32">
        <v>7.2489293788052139E-4</v>
      </c>
      <c r="O135" s="32">
        <v>0</v>
      </c>
      <c r="P135" s="32">
        <v>9.5473640157808844E-3</v>
      </c>
      <c r="Q135" s="32">
        <v>0.52566970393840817</v>
      </c>
      <c r="R135" s="32">
        <v>6.3319745077984253</v>
      </c>
      <c r="S135" s="32">
        <v>25.080647311966064</v>
      </c>
      <c r="T135" s="32">
        <v>33.240134568060625</v>
      </c>
      <c r="U135" s="32">
        <v>32.180557879846624</v>
      </c>
      <c r="V135" s="32">
        <v>32.641058576405996</v>
      </c>
      <c r="W135" s="32">
        <v>15.344943555925228</v>
      </c>
      <c r="X135" s="32">
        <v>8.8237671189657068</v>
      </c>
      <c r="Y135" s="32">
        <v>2.4938950473880572</v>
      </c>
      <c r="Z135" s="32">
        <v>1.7089254361759731E-2</v>
      </c>
      <c r="AA135" s="32"/>
      <c r="AB135" s="32">
        <v>0</v>
      </c>
      <c r="AC135" s="32">
        <v>6.5292344050772626E-3</v>
      </c>
      <c r="AD135" s="32">
        <v>0.19382978106489085</v>
      </c>
      <c r="AE135" s="32">
        <v>4.1730551167390608</v>
      </c>
      <c r="AF135" s="32">
        <v>16.262941488261063</v>
      </c>
      <c r="AG135" s="32">
        <v>24.434001555514865</v>
      </c>
      <c r="AH135" s="32">
        <v>27.715310158371071</v>
      </c>
      <c r="AI135" s="32">
        <v>23.737302293003221</v>
      </c>
      <c r="AJ135" s="32">
        <v>12.282123745857339</v>
      </c>
      <c r="AK135" s="32">
        <v>5.7964431181881428</v>
      </c>
      <c r="AL135" s="32">
        <v>1.2305249109451815</v>
      </c>
      <c r="AM135" s="26">
        <v>1.2628900380255732E-2</v>
      </c>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row>
    <row r="136" spans="1:131">
      <c r="A136" s="7" t="s">
        <v>471</v>
      </c>
      <c r="B136" s="7"/>
      <c r="C136" s="32">
        <v>272.53397519140287</v>
      </c>
      <c r="D136" s="32">
        <v>166.79</v>
      </c>
      <c r="E136" s="32">
        <v>33.357999999999997</v>
      </c>
      <c r="F136" s="32">
        <v>200.148</v>
      </c>
      <c r="G136" s="32">
        <v>408.77172835093427</v>
      </c>
      <c r="H136" s="32">
        <v>131.64379408836143</v>
      </c>
      <c r="I136" s="32">
        <v>6433.3134199823899</v>
      </c>
      <c r="J136" s="32">
        <v>38.586583493448245</v>
      </c>
      <c r="K136" s="32">
        <v>110.21371749662713</v>
      </c>
      <c r="L136" s="115">
        <v>0.32204720864487973</v>
      </c>
      <c r="M136" s="32">
        <v>2.5891077633678172</v>
      </c>
      <c r="N136" s="32">
        <v>7.2489293788052139E-4</v>
      </c>
      <c r="O136" s="32">
        <v>0</v>
      </c>
      <c r="P136" s="32">
        <v>9.5473640157808844E-3</v>
      </c>
      <c r="Q136" s="32">
        <v>0.52566970393840817</v>
      </c>
      <c r="R136" s="32">
        <v>6.3319745077984253</v>
      </c>
      <c r="S136" s="32">
        <v>25.080647311966064</v>
      </c>
      <c r="T136" s="32">
        <v>33.240134568060625</v>
      </c>
      <c r="U136" s="32">
        <v>32.180557879846624</v>
      </c>
      <c r="V136" s="32">
        <v>32.641058576405996</v>
      </c>
      <c r="W136" s="32">
        <v>15.344943555925228</v>
      </c>
      <c r="X136" s="32">
        <v>8.8237671189657068</v>
      </c>
      <c r="Y136" s="32">
        <v>2.4938950473880572</v>
      </c>
      <c r="Z136" s="32">
        <v>1.7089254361759731E-2</v>
      </c>
      <c r="AA136" s="32"/>
      <c r="AB136" s="32">
        <v>0</v>
      </c>
      <c r="AC136" s="32">
        <v>6.5292344050772626E-3</v>
      </c>
      <c r="AD136" s="32">
        <v>0.19382978106489085</v>
      </c>
      <c r="AE136" s="32">
        <v>4.1730551167390608</v>
      </c>
      <c r="AF136" s="32">
        <v>16.262941488261063</v>
      </c>
      <c r="AG136" s="32">
        <v>24.434001555514865</v>
      </c>
      <c r="AH136" s="32">
        <v>27.715310158371071</v>
      </c>
      <c r="AI136" s="32">
        <v>23.737302293003221</v>
      </c>
      <c r="AJ136" s="32">
        <v>12.282123745857339</v>
      </c>
      <c r="AK136" s="32">
        <v>5.7964431181881428</v>
      </c>
      <c r="AL136" s="32">
        <v>1.2305249109451815</v>
      </c>
      <c r="AM136" s="26">
        <v>1.2628900380255732E-2</v>
      </c>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row>
    <row r="137" spans="1:131">
      <c r="A137" s="7" t="s">
        <v>470</v>
      </c>
      <c r="B137" s="7"/>
      <c r="C137" s="32">
        <v>202.83432959591843</v>
      </c>
      <c r="D137" s="32">
        <v>64.150000000000006</v>
      </c>
      <c r="E137" s="32">
        <v>12.830000000000002</v>
      </c>
      <c r="F137" s="32">
        <v>76.98</v>
      </c>
      <c r="G137" s="32">
        <v>341.30792237777956</v>
      </c>
      <c r="H137" s="32">
        <v>97.976337447919931</v>
      </c>
      <c r="I137" s="32">
        <v>3324.6088142150948</v>
      </c>
      <c r="J137" s="32">
        <v>19.867807823392212</v>
      </c>
      <c r="K137" s="32">
        <v>123.66448698155362</v>
      </c>
      <c r="L137" s="115">
        <v>0.28706142173715499</v>
      </c>
      <c r="M137" s="32">
        <v>1.9269521793217717</v>
      </c>
      <c r="N137" s="32">
        <v>5.3950401222654422E-4</v>
      </c>
      <c r="O137" s="32">
        <v>0</v>
      </c>
      <c r="P137" s="32">
        <v>7.1056578475731987E-3</v>
      </c>
      <c r="Q137" s="32">
        <v>0.39123144889494649</v>
      </c>
      <c r="R137" s="32">
        <v>4.7125933689762363</v>
      </c>
      <c r="S137" s="32">
        <v>18.666356294775785</v>
      </c>
      <c r="T137" s="32">
        <v>24.739082186195535</v>
      </c>
      <c r="U137" s="32">
        <v>23.950488664751425</v>
      </c>
      <c r="V137" s="32">
        <v>24.29321786025622</v>
      </c>
      <c r="W137" s="32">
        <v>11.42052596072611</v>
      </c>
      <c r="X137" s="32">
        <v>6.5671184182777669</v>
      </c>
      <c r="Y137" s="32">
        <v>1.8560897945449806</v>
      </c>
      <c r="Z137" s="32">
        <v>1.2718735157065307E-2</v>
      </c>
      <c r="AA137" s="32"/>
      <c r="AB137" s="32">
        <v>0</v>
      </c>
      <c r="AC137" s="32">
        <v>4.8594047123788802E-3</v>
      </c>
      <c r="AD137" s="32">
        <v>0.1442584678494096</v>
      </c>
      <c r="AE137" s="32">
        <v>3.1058103356696116</v>
      </c>
      <c r="AF137" s="32">
        <v>12.103749015925036</v>
      </c>
      <c r="AG137" s="32">
        <v>18.18508801105553</v>
      </c>
      <c r="AH137" s="32">
        <v>20.627212998188707</v>
      </c>
      <c r="AI137" s="32">
        <v>17.666567236747397</v>
      </c>
      <c r="AJ137" s="32">
        <v>9.1410119940292507</v>
      </c>
      <c r="AK137" s="32">
        <v>4.3140223272817666</v>
      </c>
      <c r="AL137" s="32">
        <v>0.91582231238271161</v>
      </c>
      <c r="AM137" s="26">
        <v>9.3991016729704831E-3</v>
      </c>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row>
    <row r="138" spans="1:131">
      <c r="A138" s="7" t="s">
        <v>472</v>
      </c>
      <c r="B138" s="7"/>
      <c r="C138" s="32">
        <v>202.83432959591843</v>
      </c>
      <c r="D138" s="32">
        <v>166.79</v>
      </c>
      <c r="E138" s="32">
        <v>33.357999999999997</v>
      </c>
      <c r="F138" s="32">
        <v>200.148</v>
      </c>
      <c r="G138" s="32">
        <v>408.77172835093427</v>
      </c>
      <c r="H138" s="32">
        <v>97.976337447919931</v>
      </c>
      <c r="I138" s="32">
        <v>8643.9829169592449</v>
      </c>
      <c r="J138" s="32">
        <v>51.897924274355788</v>
      </c>
      <c r="K138" s="32">
        <v>148.13817906920514</v>
      </c>
      <c r="L138" s="115">
        <v>0.23968472047510669</v>
      </c>
      <c r="M138" s="32">
        <v>1.9269521793217717</v>
      </c>
      <c r="N138" s="32">
        <v>5.3950401222654422E-4</v>
      </c>
      <c r="O138" s="32">
        <v>0</v>
      </c>
      <c r="P138" s="32">
        <v>7.1056578475731987E-3</v>
      </c>
      <c r="Q138" s="32">
        <v>0.39123144889494649</v>
      </c>
      <c r="R138" s="32">
        <v>4.7125933689762363</v>
      </c>
      <c r="S138" s="32">
        <v>18.666356294775785</v>
      </c>
      <c r="T138" s="32">
        <v>24.739082186195535</v>
      </c>
      <c r="U138" s="32">
        <v>23.950488664751425</v>
      </c>
      <c r="V138" s="32">
        <v>24.29321786025622</v>
      </c>
      <c r="W138" s="32">
        <v>11.42052596072611</v>
      </c>
      <c r="X138" s="32">
        <v>6.5671184182777669</v>
      </c>
      <c r="Y138" s="32">
        <v>1.8560897945449806</v>
      </c>
      <c r="Z138" s="32">
        <v>1.2718735157065307E-2</v>
      </c>
      <c r="AA138" s="32"/>
      <c r="AB138" s="32">
        <v>0</v>
      </c>
      <c r="AC138" s="32">
        <v>4.8594047123788802E-3</v>
      </c>
      <c r="AD138" s="32">
        <v>0.1442584678494096</v>
      </c>
      <c r="AE138" s="32">
        <v>3.1058103356696116</v>
      </c>
      <c r="AF138" s="32">
        <v>12.103749015925036</v>
      </c>
      <c r="AG138" s="32">
        <v>18.18508801105553</v>
      </c>
      <c r="AH138" s="32">
        <v>20.627212998188707</v>
      </c>
      <c r="AI138" s="32">
        <v>17.666567236747397</v>
      </c>
      <c r="AJ138" s="32">
        <v>9.1410119940292507</v>
      </c>
      <c r="AK138" s="32">
        <v>4.3140223272817666</v>
      </c>
      <c r="AL138" s="32">
        <v>0.91582231238271161</v>
      </c>
      <c r="AM138" s="26">
        <v>9.3991016729704831E-3</v>
      </c>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row>
    <row r="139" spans="1:131">
      <c r="A139" s="7" t="s">
        <v>459</v>
      </c>
      <c r="B139" s="7"/>
      <c r="C139" s="32">
        <v>257.72032972258603</v>
      </c>
      <c r="D139" s="32">
        <v>341.97227304501308</v>
      </c>
      <c r="E139" s="32">
        <v>68.394454609002622</v>
      </c>
      <c r="F139" s="32">
        <v>410.36672765401568</v>
      </c>
      <c r="G139" s="32">
        <v>716.09602638126341</v>
      </c>
      <c r="H139" s="32">
        <v>124.48826607602712</v>
      </c>
      <c r="I139" s="32">
        <v>13948.501998731286</v>
      </c>
      <c r="J139" s="32">
        <v>83.838592598072097</v>
      </c>
      <c r="K139" s="32">
        <v>204.30161429755307</v>
      </c>
      <c r="L139" s="115">
        <v>0.17384297844120022</v>
      </c>
      <c r="M139" s="32">
        <v>2.448376229032859</v>
      </c>
      <c r="N139" s="32">
        <v>6.8549121933489973E-4</v>
      </c>
      <c r="O139" s="32">
        <v>0</v>
      </c>
      <c r="P139" s="32">
        <v>9.0284148990985007E-3</v>
      </c>
      <c r="Q139" s="32">
        <v>0.49709680904567954</v>
      </c>
      <c r="R139" s="32">
        <v>5.9877986104255001</v>
      </c>
      <c r="S139" s="32">
        <v>23.717383090883295</v>
      </c>
      <c r="T139" s="32">
        <v>31.433359583469471</v>
      </c>
      <c r="U139" s="32">
        <v>30.431376424264844</v>
      </c>
      <c r="V139" s="32">
        <v>30.866846501973182</v>
      </c>
      <c r="W139" s="32">
        <v>14.510865700432765</v>
      </c>
      <c r="X139" s="32">
        <v>8.3441492742255754</v>
      </c>
      <c r="Y139" s="32">
        <v>2.3583388216275849</v>
      </c>
      <c r="Z139" s="32">
        <v>1.6160364100412508E-2</v>
      </c>
      <c r="AA139" s="32"/>
      <c r="AB139" s="32">
        <v>0</v>
      </c>
      <c r="AC139" s="32">
        <v>6.1743364016570027E-3</v>
      </c>
      <c r="AD139" s="32">
        <v>0.18329411975522436</v>
      </c>
      <c r="AE139" s="32">
        <v>3.9462277680468878</v>
      </c>
      <c r="AF139" s="32">
        <v>15.378965648852358</v>
      </c>
      <c r="AG139" s="32">
        <v>23.105885909846428</v>
      </c>
      <c r="AH139" s="32">
        <v>26.208838246177141</v>
      </c>
      <c r="AI139" s="32">
        <v>22.447055892319693</v>
      </c>
      <c r="AJ139" s="32">
        <v>11.614526149456792</v>
      </c>
      <c r="AK139" s="32">
        <v>5.4813761498488835</v>
      </c>
      <c r="AL139" s="32">
        <v>1.1636394528716065</v>
      </c>
      <c r="AM139" s="26">
        <v>1.1942453661960421E-2</v>
      </c>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row>
    <row r="140" spans="1:131">
      <c r="A140" s="7"/>
      <c r="B140" s="7"/>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8"/>
  <dimension ref="A4:DB26"/>
  <sheetViews>
    <sheetView workbookViewId="0">
      <selection activeCell="A28" sqref="A28:XFD30"/>
    </sheetView>
  </sheetViews>
  <sheetFormatPr defaultRowHeight="12.75"/>
  <cols>
    <col min="1" max="1" width="39.28515625" customWidth="1"/>
    <col min="2" max="2" width="114.7109375" bestFit="1" customWidth="1"/>
    <col min="3" max="3" width="92.28515625" customWidth="1"/>
  </cols>
  <sheetData>
    <row r="4" spans="1:106" s="7" customFormat="1">
      <c r="A4" s="7" t="s">
        <v>500</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row>
    <row r="5" spans="1:106" s="7" customFormat="1">
      <c r="B5" s="12"/>
      <c r="C5" s="13"/>
      <c r="D5" s="13"/>
      <c r="E5" s="13"/>
      <c r="F5" s="13"/>
      <c r="G5" s="13"/>
      <c r="H5" s="14"/>
      <c r="I5" s="72"/>
      <c r="J5" s="313" t="s">
        <v>4</v>
      </c>
      <c r="K5" s="314"/>
      <c r="L5" s="314"/>
      <c r="M5" s="314"/>
      <c r="N5" s="314"/>
      <c r="O5" s="315"/>
      <c r="P5" s="316" t="s">
        <v>5</v>
      </c>
      <c r="Q5" s="317"/>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38.25">
      <c r="B6" s="73" t="s">
        <v>6</v>
      </c>
      <c r="C6" s="73" t="s">
        <v>7</v>
      </c>
      <c r="D6" s="73" t="s">
        <v>8</v>
      </c>
      <c r="E6" s="73" t="s">
        <v>9</v>
      </c>
      <c r="F6" s="73" t="s">
        <v>10</v>
      </c>
      <c r="G6" s="73" t="s">
        <v>11</v>
      </c>
      <c r="H6" s="74" t="s">
        <v>12</v>
      </c>
      <c r="I6" s="74" t="s">
        <v>13</v>
      </c>
      <c r="J6" s="74" t="s">
        <v>14</v>
      </c>
      <c r="K6" s="74" t="s">
        <v>15</v>
      </c>
      <c r="L6" s="74" t="s">
        <v>16</v>
      </c>
      <c r="M6" s="74" t="s">
        <v>17</v>
      </c>
      <c r="N6" s="74" t="s">
        <v>18</v>
      </c>
      <c r="O6" s="74" t="s">
        <v>19</v>
      </c>
      <c r="P6" s="75" t="s">
        <v>20</v>
      </c>
      <c r="Q6" s="74"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A7" t="str">
        <f>Raw!A8</f>
        <v>Idaho</v>
      </c>
      <c r="B7" t="str">
        <f>Raw!B8</f>
        <v>Convert High Pressure Center Pivot to Low pressure system - Idaho</v>
      </c>
      <c r="C7" t="str">
        <f>Raw!C8</f>
        <v>Convert High Pressure Center Pivot to Low pressure system - Idaho</v>
      </c>
      <c r="D7">
        <f>Raw!D8</f>
        <v>468.93794237430774</v>
      </c>
      <c r="E7">
        <f>Raw!E8</f>
        <v>10</v>
      </c>
      <c r="F7">
        <f>Raw!F8</f>
        <v>64.150000000000006</v>
      </c>
      <c r="G7">
        <f>Raw!G8</f>
        <v>0</v>
      </c>
      <c r="H7" t="str">
        <f>Raw!H8</f>
        <v>A-Irr-Irr-Irrigation-All-All-E</v>
      </c>
      <c r="I7">
        <f>Raw!I8</f>
        <v>0</v>
      </c>
      <c r="J7">
        <f>Raw!J8</f>
        <v>0</v>
      </c>
      <c r="K7">
        <f>Raw!K8</f>
        <v>0</v>
      </c>
      <c r="L7">
        <f>Raw!L8</f>
        <v>0</v>
      </c>
      <c r="M7">
        <f>Raw!M8</f>
        <v>0</v>
      </c>
      <c r="N7">
        <f>Raw!N8</f>
        <v>0</v>
      </c>
      <c r="O7">
        <f>Raw!O8</f>
        <v>0</v>
      </c>
      <c r="P7">
        <f>Raw!P8</f>
        <v>0</v>
      </c>
      <c r="Q7">
        <f>Raw!Q8</f>
        <v>0</v>
      </c>
    </row>
    <row r="8" spans="1:106">
      <c r="A8" t="str">
        <f>Raw!A9</f>
        <v>Idaho</v>
      </c>
      <c r="B8" t="str">
        <f>Raw!B9</f>
        <v>Convert Medium Pressure Center Pivot to Low pressure system - Idaho</v>
      </c>
      <c r="C8" t="str">
        <f>Raw!C9</f>
        <v>Convert Medium Pressure Center Pivot to Low pressure system - Idaho</v>
      </c>
      <c r="D8">
        <f>Raw!D9</f>
        <v>269.17982618554754</v>
      </c>
      <c r="E8">
        <f>Raw!E9</f>
        <v>10</v>
      </c>
      <c r="F8">
        <f>Raw!F9</f>
        <v>24.056249999999999</v>
      </c>
      <c r="G8">
        <f>Raw!G9</f>
        <v>0</v>
      </c>
      <c r="H8" t="str">
        <f>Raw!H9</f>
        <v>A-Irr-Irr-Irrigation-All-All-E</v>
      </c>
      <c r="I8">
        <f>Raw!I9</f>
        <v>0</v>
      </c>
      <c r="J8">
        <f>Raw!J9</f>
        <v>4.5098801515939018</v>
      </c>
      <c r="K8">
        <f>Raw!K9</f>
        <v>5</v>
      </c>
      <c r="L8">
        <f>Raw!L9</f>
        <v>0</v>
      </c>
      <c r="M8">
        <f>Raw!M9</f>
        <v>0</v>
      </c>
      <c r="N8">
        <f>Raw!N9</f>
        <v>0</v>
      </c>
      <c r="O8">
        <f>Raw!O9</f>
        <v>0</v>
      </c>
      <c r="P8">
        <f>Raw!P9</f>
        <v>0</v>
      </c>
      <c r="Q8">
        <f>Raw!Q9</f>
        <v>0</v>
      </c>
    </row>
    <row r="9" spans="1:106">
      <c r="A9" t="str">
        <f>Raw!A10</f>
        <v>Idaho</v>
      </c>
      <c r="B9" t="str">
        <f>Raw!B10</f>
        <v>Convert wheel line systems to low pressure systems on alfalfa acreage - Idaho</v>
      </c>
      <c r="C9" t="str">
        <f>Raw!C10</f>
        <v>Convert wheel line systems to low pressure systems on alfalfa acreage - Idaho</v>
      </c>
      <c r="D9">
        <f>Raw!D10</f>
        <v>254.89140103061385</v>
      </c>
      <c r="E9">
        <f>Raw!E10</f>
        <v>10</v>
      </c>
      <c r="F9">
        <f>Raw!F10</f>
        <v>166.79</v>
      </c>
      <c r="G9">
        <f>Raw!G10</f>
        <v>4.8112499999999994</v>
      </c>
      <c r="H9" t="str">
        <f>Raw!H10</f>
        <v>A-Irr-Irr-Irrigation-All-All-E</v>
      </c>
      <c r="I9">
        <f>Raw!I10</f>
        <v>0</v>
      </c>
      <c r="J9">
        <f>Raw!J10</f>
        <v>0</v>
      </c>
      <c r="K9">
        <f>Raw!K10</f>
        <v>0</v>
      </c>
      <c r="L9">
        <f>Raw!L10</f>
        <v>0</v>
      </c>
      <c r="M9">
        <f>Raw!M10</f>
        <v>0</v>
      </c>
      <c r="N9">
        <f>Raw!N10</f>
        <v>0</v>
      </c>
      <c r="O9">
        <f>Raw!O10</f>
        <v>0</v>
      </c>
      <c r="P9">
        <f>Raw!P10</f>
        <v>0</v>
      </c>
      <c r="Q9">
        <f>Raw!Q10</f>
        <v>0</v>
      </c>
    </row>
    <row r="10" spans="1:106">
      <c r="A10" t="str">
        <f>Raw!A11</f>
        <v>Idaho</v>
      </c>
      <c r="B10" t="str">
        <f>Raw!B11</f>
        <v>Convert hand line systems to low pressure systems on alfalfa acreage - Idaho</v>
      </c>
      <c r="C10" t="str">
        <f>Raw!C11</f>
        <v>Convert hand line systems to low pressure systems on alfalfa acreage - Idaho</v>
      </c>
      <c r="D10">
        <f>Raw!D11</f>
        <v>254.89140103061385</v>
      </c>
      <c r="E10">
        <f>Raw!E11</f>
        <v>10</v>
      </c>
      <c r="F10">
        <f>Raw!F11</f>
        <v>38.489999999999995</v>
      </c>
      <c r="G10">
        <f>Raw!G11</f>
        <v>15.395999999999999</v>
      </c>
      <c r="H10" t="str">
        <f>Raw!H11</f>
        <v>A-Irr-Irr-Irrigation-All-All-E</v>
      </c>
      <c r="I10">
        <f>Raw!I11</f>
        <v>0</v>
      </c>
      <c r="J10">
        <f>Raw!J11</f>
        <v>0</v>
      </c>
      <c r="K10">
        <f>Raw!K11</f>
        <v>0</v>
      </c>
      <c r="L10">
        <f>Raw!L11</f>
        <v>0</v>
      </c>
      <c r="M10">
        <f>Raw!M11</f>
        <v>0</v>
      </c>
      <c r="N10">
        <f>Raw!N11</f>
        <v>0</v>
      </c>
      <c r="O10">
        <f>Raw!O11</f>
        <v>0</v>
      </c>
      <c r="P10">
        <f>Raw!P11</f>
        <v>0</v>
      </c>
      <c r="Q10">
        <f>Raw!Q11</f>
        <v>0</v>
      </c>
    </row>
    <row r="11" spans="1:106">
      <c r="A11" t="str">
        <f>Raw!A12</f>
        <v>Montana</v>
      </c>
      <c r="B11" t="str">
        <f>Raw!B12</f>
        <v>Convert High Pressure Center Pivot to Low pressure system - Montana</v>
      </c>
      <c r="C11" t="str">
        <f>Raw!C12</f>
        <v>Convert High Pressure Center Pivot to Low pressure system - Montana</v>
      </c>
      <c r="D11">
        <f>Raw!D12</f>
        <v>268.2525780049383</v>
      </c>
      <c r="E11">
        <f>Raw!E12</f>
        <v>10</v>
      </c>
      <c r="F11">
        <f>Raw!F12</f>
        <v>64.150000000000006</v>
      </c>
      <c r="G11">
        <f>Raw!G12</f>
        <v>0</v>
      </c>
      <c r="H11" t="str">
        <f>Raw!H12</f>
        <v>A-Irr-Irr-Irrigation-All-All-E</v>
      </c>
      <c r="I11">
        <f>Raw!I12</f>
        <v>0</v>
      </c>
      <c r="J11">
        <f>Raw!J12</f>
        <v>0</v>
      </c>
      <c r="K11">
        <f>Raw!K12</f>
        <v>0</v>
      </c>
      <c r="L11">
        <f>Raw!L12</f>
        <v>0</v>
      </c>
      <c r="M11">
        <f>Raw!M12</f>
        <v>0</v>
      </c>
      <c r="N11">
        <f>Raw!N12</f>
        <v>0</v>
      </c>
      <c r="O11">
        <f>Raw!O12</f>
        <v>0</v>
      </c>
      <c r="P11">
        <f>Raw!P12</f>
        <v>0</v>
      </c>
      <c r="Q11">
        <f>Raw!Q12</f>
        <v>0</v>
      </c>
    </row>
    <row r="12" spans="1:106">
      <c r="A12" t="str">
        <f>Raw!A13</f>
        <v>Montana</v>
      </c>
      <c r="B12" t="str">
        <f>Raw!B13</f>
        <v>Convert Medium Pressure Center Pivot to Low pressure system - Montana</v>
      </c>
      <c r="C12" t="str">
        <f>Raw!C13</f>
        <v>Convert Medium Pressure Center Pivot to Low pressure system - Montana</v>
      </c>
      <c r="D12">
        <f>Raw!D13</f>
        <v>155.81570539639128</v>
      </c>
      <c r="E12">
        <f>Raw!E13</f>
        <v>10</v>
      </c>
      <c r="F12">
        <f>Raw!F13</f>
        <v>24.056249999999999</v>
      </c>
      <c r="G12">
        <f>Raw!G13</f>
        <v>0</v>
      </c>
      <c r="H12" t="str">
        <f>Raw!H13</f>
        <v>A-Irr-Irr-Irrigation-All-All-E</v>
      </c>
      <c r="I12">
        <f>Raw!I13</f>
        <v>0</v>
      </c>
      <c r="J12">
        <f>Raw!J13</f>
        <v>4.437288302933398</v>
      </c>
      <c r="K12">
        <f>Raw!K13</f>
        <v>5</v>
      </c>
      <c r="L12">
        <f>Raw!L13</f>
        <v>0</v>
      </c>
      <c r="M12">
        <f>Raw!M13</f>
        <v>0</v>
      </c>
      <c r="N12">
        <f>Raw!N13</f>
        <v>0</v>
      </c>
      <c r="O12">
        <f>Raw!O13</f>
        <v>0</v>
      </c>
      <c r="P12">
        <f>Raw!P13</f>
        <v>0</v>
      </c>
      <c r="Q12">
        <f>Raw!Q13</f>
        <v>0</v>
      </c>
    </row>
    <row r="13" spans="1:106">
      <c r="A13" t="str">
        <f>Raw!A14</f>
        <v>Montana</v>
      </c>
      <c r="B13" t="str">
        <f>Raw!B14</f>
        <v>Convert wheel line systems to low pressure systems on alfalfa acreage - Montana</v>
      </c>
      <c r="C13" t="str">
        <f>Raw!C14</f>
        <v>Convert wheel line systems to low pressure systems on alfalfa acreage - Montana</v>
      </c>
      <c r="D13">
        <f>Raw!D14</f>
        <v>189.70378431349377</v>
      </c>
      <c r="E13">
        <f>Raw!E14</f>
        <v>10</v>
      </c>
      <c r="F13">
        <f>Raw!F14</f>
        <v>166.79</v>
      </c>
      <c r="G13">
        <f>Raw!G14</f>
        <v>4.8112499999999994</v>
      </c>
      <c r="H13" t="str">
        <f>Raw!H14</f>
        <v>A-Irr-Irr-Irrigation-All-All-E</v>
      </c>
      <c r="I13">
        <f>Raw!I14</f>
        <v>0</v>
      </c>
      <c r="J13">
        <f>Raw!J14</f>
        <v>0</v>
      </c>
      <c r="K13">
        <f>Raw!K14</f>
        <v>0</v>
      </c>
      <c r="L13">
        <f>Raw!L14</f>
        <v>0</v>
      </c>
      <c r="M13">
        <f>Raw!M14</f>
        <v>0</v>
      </c>
      <c r="N13">
        <f>Raw!N14</f>
        <v>0</v>
      </c>
      <c r="O13">
        <f>Raw!O14</f>
        <v>0</v>
      </c>
      <c r="P13">
        <f>Raw!P14</f>
        <v>0</v>
      </c>
      <c r="Q13">
        <f>Raw!Q14</f>
        <v>0</v>
      </c>
    </row>
    <row r="14" spans="1:106">
      <c r="A14" t="str">
        <f>Raw!A15</f>
        <v>Montana</v>
      </c>
      <c r="B14" t="str">
        <f>Raw!B15</f>
        <v>Convert hand line systems to low pressure systems on alfalfa acreage - Montana</v>
      </c>
      <c r="C14" t="str">
        <f>Raw!C15</f>
        <v>Convert hand line systems to low pressure systems on alfalfa acreage - Montana</v>
      </c>
      <c r="D14">
        <f>Raw!D15</f>
        <v>189.70378431349377</v>
      </c>
      <c r="E14">
        <f>Raw!E15</f>
        <v>10</v>
      </c>
      <c r="F14">
        <f>Raw!F15</f>
        <v>64.150000000000006</v>
      </c>
      <c r="G14">
        <f>Raw!G15</f>
        <v>15.395999999999999</v>
      </c>
      <c r="H14" t="str">
        <f>Raw!H15</f>
        <v>A-Irr-Irr-Irrigation-All-All-E</v>
      </c>
      <c r="I14">
        <f>Raw!I15</f>
        <v>0</v>
      </c>
      <c r="J14">
        <f>Raw!J15</f>
        <v>0</v>
      </c>
      <c r="K14">
        <f>Raw!K15</f>
        <v>0</v>
      </c>
      <c r="L14">
        <f>Raw!L15</f>
        <v>0</v>
      </c>
      <c r="M14">
        <f>Raw!M15</f>
        <v>0</v>
      </c>
      <c r="N14">
        <f>Raw!N15</f>
        <v>0</v>
      </c>
      <c r="O14">
        <f>Raw!O15</f>
        <v>0</v>
      </c>
      <c r="P14">
        <f>Raw!P15</f>
        <v>0</v>
      </c>
      <c r="Q14">
        <f>Raw!Q15</f>
        <v>0</v>
      </c>
    </row>
    <row r="15" spans="1:106">
      <c r="A15" t="str">
        <f>Raw!A16</f>
        <v>Oregon</v>
      </c>
      <c r="B15" t="str">
        <f>Raw!B16</f>
        <v>Convert High Pressure Center Pivot to Low pressure system - Oregon</v>
      </c>
      <c r="C15" t="str">
        <f>Raw!C16</f>
        <v>Convert High Pressure Center Pivot to Low pressure system - Oregon</v>
      </c>
      <c r="D15">
        <f>Raw!D16</f>
        <v>401.32895738875931</v>
      </c>
      <c r="E15">
        <f>Raw!E16</f>
        <v>10</v>
      </c>
      <c r="F15">
        <f>Raw!F16</f>
        <v>49.322923996876881</v>
      </c>
      <c r="G15">
        <f>Raw!G16</f>
        <v>0</v>
      </c>
      <c r="H15" t="str">
        <f>Raw!H16</f>
        <v>A-Irr-Irr-Irrigation-All-All-E</v>
      </c>
      <c r="I15">
        <f>Raw!I16</f>
        <v>0</v>
      </c>
      <c r="J15">
        <f>Raw!J16</f>
        <v>0</v>
      </c>
      <c r="K15">
        <f>Raw!K16</f>
        <v>0</v>
      </c>
      <c r="L15">
        <f>Raw!L16</f>
        <v>0</v>
      </c>
      <c r="M15">
        <f>Raw!M16</f>
        <v>0</v>
      </c>
      <c r="N15">
        <f>Raw!N16</f>
        <v>0</v>
      </c>
      <c r="O15">
        <f>Raw!O16</f>
        <v>0</v>
      </c>
      <c r="P15">
        <f>Raw!P16</f>
        <v>0</v>
      </c>
      <c r="Q15">
        <f>Raw!Q16</f>
        <v>0</v>
      </c>
    </row>
    <row r="16" spans="1:106">
      <c r="A16" t="str">
        <f>Raw!A17</f>
        <v>Oregon</v>
      </c>
      <c r="B16" t="str">
        <f>Raw!B17</f>
        <v>Convert Medium Pressure Center Pivot to Low pressure system - Oregon</v>
      </c>
      <c r="C16" t="str">
        <f>Raw!C17</f>
        <v>Convert Medium Pressure Center Pivot to Low pressure system - Oregon</v>
      </c>
      <c r="D16">
        <f>Raw!D17</f>
        <v>241.03672164516954</v>
      </c>
      <c r="E16">
        <f>Raw!E17</f>
        <v>10</v>
      </c>
      <c r="F16">
        <f>Raw!F17</f>
        <v>341.97227304501308</v>
      </c>
      <c r="G16">
        <f>Raw!G17</f>
        <v>0</v>
      </c>
      <c r="H16" t="str">
        <f>Raw!H17</f>
        <v>A-Irr-Irr-Irrigation-All-All-E</v>
      </c>
      <c r="I16">
        <f>Raw!I17</f>
        <v>0</v>
      </c>
      <c r="J16">
        <f>Raw!J17</f>
        <v>9.0978449973630475</v>
      </c>
      <c r="K16">
        <f>Raw!K17</f>
        <v>5</v>
      </c>
      <c r="L16">
        <f>Raw!L17</f>
        <v>0</v>
      </c>
      <c r="M16">
        <f>Raw!M17</f>
        <v>0</v>
      </c>
      <c r="N16">
        <f>Raw!N17</f>
        <v>0</v>
      </c>
      <c r="O16">
        <f>Raw!O17</f>
        <v>0</v>
      </c>
      <c r="P16">
        <f>Raw!P17</f>
        <v>0</v>
      </c>
      <c r="Q16">
        <f>Raw!Q17</f>
        <v>0</v>
      </c>
    </row>
    <row r="17" spans="1:17">
      <c r="A17" t="str">
        <f>Raw!A18</f>
        <v>Oregon</v>
      </c>
      <c r="B17" t="str">
        <f>Raw!B18</f>
        <v>Convert wheel line systems to low pressure systems on alfalfa acreage - Oregon</v>
      </c>
      <c r="C17" t="str">
        <f>Raw!C18</f>
        <v>Convert wheel line systems to low pressure systems on alfalfa acreage - Oregon</v>
      </c>
      <c r="D17">
        <f>Raw!D18</f>
        <v>392.11107274840714</v>
      </c>
      <c r="E17">
        <f>Raw!E18</f>
        <v>10</v>
      </c>
      <c r="F17">
        <f>Raw!F18</f>
        <v>78.916678395003004</v>
      </c>
      <c r="G17">
        <f>Raw!G18</f>
        <v>4.8112499999999994</v>
      </c>
      <c r="H17" t="str">
        <f>Raw!H18</f>
        <v>A-Irr-Irr-Irrigation-All-All-E</v>
      </c>
      <c r="I17">
        <f>Raw!I18</f>
        <v>0</v>
      </c>
      <c r="J17">
        <f>Raw!J18</f>
        <v>0</v>
      </c>
      <c r="K17">
        <f>Raw!K18</f>
        <v>0</v>
      </c>
      <c r="L17">
        <f>Raw!L18</f>
        <v>0</v>
      </c>
      <c r="M17">
        <f>Raw!M18</f>
        <v>0</v>
      </c>
      <c r="N17">
        <f>Raw!N18</f>
        <v>0</v>
      </c>
      <c r="O17">
        <f>Raw!O18</f>
        <v>0</v>
      </c>
      <c r="P17">
        <f>Raw!P18</f>
        <v>0</v>
      </c>
      <c r="Q17">
        <f>Raw!Q18</f>
        <v>0</v>
      </c>
    </row>
    <row r="18" spans="1:17">
      <c r="A18" t="str">
        <f>Raw!A19</f>
        <v>Oregon</v>
      </c>
      <c r="B18" t="str">
        <f>Raw!B19</f>
        <v>Convert hand line systems to low pressure systems on alfalfa acreage - Oregon</v>
      </c>
      <c r="C18" t="str">
        <f>Raw!C19</f>
        <v>Convert hand line systems to low pressure systems on alfalfa acreage - Oregon</v>
      </c>
      <c r="D18">
        <f>Raw!D19</f>
        <v>392.11107274840714</v>
      </c>
      <c r="E18">
        <f>Raw!E19</f>
        <v>10</v>
      </c>
      <c r="F18">
        <f>Raw!F19</f>
        <v>38.489999999999995</v>
      </c>
      <c r="G18">
        <f>Raw!G19</f>
        <v>15.395999999999999</v>
      </c>
      <c r="H18" t="str">
        <f>Raw!H19</f>
        <v>A-Irr-Irr-Irrigation-All-All-E</v>
      </c>
      <c r="I18">
        <f>Raw!I19</f>
        <v>0</v>
      </c>
      <c r="J18">
        <f>Raw!J19</f>
        <v>0</v>
      </c>
      <c r="K18">
        <f>Raw!K19</f>
        <v>0</v>
      </c>
      <c r="L18">
        <f>Raw!L19</f>
        <v>0</v>
      </c>
      <c r="M18">
        <f>Raw!M19</f>
        <v>0</v>
      </c>
      <c r="N18">
        <f>Raw!N19</f>
        <v>0</v>
      </c>
      <c r="O18">
        <f>Raw!O19</f>
        <v>0</v>
      </c>
      <c r="P18">
        <f>Raw!P19</f>
        <v>0</v>
      </c>
      <c r="Q18">
        <f>Raw!Q19</f>
        <v>0</v>
      </c>
    </row>
    <row r="19" spans="1:17">
      <c r="A19" t="str">
        <f>Raw!A20</f>
        <v>Washington</v>
      </c>
      <c r="B19" t="str">
        <f>Raw!B20</f>
        <v>Convert High Pressure Center Pivot to Low pressure system - Washington</v>
      </c>
      <c r="C19" t="str">
        <f>Raw!C20</f>
        <v>Convert High Pressure Center Pivot to Low pressure system - Washington</v>
      </c>
      <c r="D19">
        <f>Raw!D20</f>
        <v>677.76274432530477</v>
      </c>
      <c r="E19">
        <f>Raw!E20</f>
        <v>10</v>
      </c>
      <c r="F19">
        <f>Raw!F20</f>
        <v>64.150000000000006</v>
      </c>
      <c r="G19">
        <f>Raw!G20</f>
        <v>0</v>
      </c>
      <c r="H19" t="str">
        <f>Raw!H20</f>
        <v>A-Irr-Irr-Irrigation-All-All-E</v>
      </c>
      <c r="I19">
        <f>Raw!I20</f>
        <v>0</v>
      </c>
      <c r="J19">
        <f>Raw!J20</f>
        <v>0</v>
      </c>
      <c r="K19">
        <f>Raw!K20</f>
        <v>0</v>
      </c>
      <c r="L19">
        <f>Raw!L20</f>
        <v>0</v>
      </c>
      <c r="M19">
        <f>Raw!M20</f>
        <v>0</v>
      </c>
      <c r="N19">
        <f>Raw!N20</f>
        <v>0</v>
      </c>
      <c r="O19">
        <f>Raw!O20</f>
        <v>0</v>
      </c>
      <c r="P19">
        <f>Raw!P20</f>
        <v>0</v>
      </c>
      <c r="Q19">
        <f>Raw!Q20</f>
        <v>0</v>
      </c>
    </row>
    <row r="20" spans="1:17">
      <c r="A20" t="str">
        <f>Raw!A21</f>
        <v>Washington</v>
      </c>
      <c r="B20" t="str">
        <f>Raw!B21</f>
        <v>Convert Medium Pressure Center Pivot to Low pressure system - Washington</v>
      </c>
      <c r="C20" t="str">
        <f>Raw!C21</f>
        <v>Convert Medium Pressure Center Pivot to Low pressure system - Washington</v>
      </c>
      <c r="D20">
        <f>Raw!D21</f>
        <v>445.05114309453501</v>
      </c>
      <c r="E20">
        <f>Raw!E21</f>
        <v>10</v>
      </c>
      <c r="F20">
        <f>Raw!F21</f>
        <v>24.056249999999999</v>
      </c>
      <c r="G20">
        <f>Raw!G21</f>
        <v>0</v>
      </c>
      <c r="H20" t="str">
        <f>Raw!H21</f>
        <v>A-Irr-Irr-Irrigation-All-All-E</v>
      </c>
      <c r="I20">
        <f>Raw!I21</f>
        <v>0</v>
      </c>
      <c r="J20">
        <f>Raw!J21</f>
        <v>6.936255026529242</v>
      </c>
      <c r="K20">
        <f>Raw!K21</f>
        <v>5</v>
      </c>
      <c r="L20">
        <f>Raw!L21</f>
        <v>0</v>
      </c>
      <c r="M20">
        <f>Raw!M21</f>
        <v>0</v>
      </c>
      <c r="N20">
        <f>Raw!N21</f>
        <v>0</v>
      </c>
      <c r="O20">
        <f>Raw!O21</f>
        <v>0</v>
      </c>
      <c r="P20">
        <f>Raw!P21</f>
        <v>0</v>
      </c>
      <c r="Q20">
        <f>Raw!Q21</f>
        <v>0</v>
      </c>
    </row>
    <row r="21" spans="1:17">
      <c r="A21" t="str">
        <f>Raw!A22</f>
        <v>Washington</v>
      </c>
      <c r="B21" t="str">
        <f>Raw!B22</f>
        <v>Convert wheel line systems to low pressure systems on alfalfa acreage - Washington</v>
      </c>
      <c r="C21" t="str">
        <f>Raw!C22</f>
        <v>Convert wheel line systems to low pressure systems on alfalfa acreage - Washington</v>
      </c>
      <c r="D21">
        <f>Raw!D22</f>
        <v>403.26183697404838</v>
      </c>
      <c r="E21">
        <f>Raw!E22</f>
        <v>10</v>
      </c>
      <c r="F21">
        <f>Raw!F22</f>
        <v>48.908368968785467</v>
      </c>
      <c r="G21">
        <f>Raw!G22</f>
        <v>4.8112499999999994</v>
      </c>
      <c r="H21" t="str">
        <f>Raw!H22</f>
        <v>A-Irr-Irr-Irrigation-All-All-E</v>
      </c>
      <c r="I21">
        <f>Raw!I22</f>
        <v>0</v>
      </c>
      <c r="J21">
        <f>Raw!J22</f>
        <v>0</v>
      </c>
      <c r="K21">
        <f>Raw!K22</f>
        <v>0</v>
      </c>
      <c r="L21">
        <f>Raw!L22</f>
        <v>0</v>
      </c>
      <c r="M21">
        <f>Raw!M22</f>
        <v>0</v>
      </c>
      <c r="N21">
        <f>Raw!N22</f>
        <v>0</v>
      </c>
      <c r="O21">
        <f>Raw!O22</f>
        <v>0</v>
      </c>
      <c r="P21">
        <f>Raw!P22</f>
        <v>0</v>
      </c>
      <c r="Q21">
        <f>Raw!Q22</f>
        <v>0</v>
      </c>
    </row>
    <row r="22" spans="1:17">
      <c r="A22" t="str">
        <f>Raw!A23</f>
        <v>Washington</v>
      </c>
      <c r="B22" t="str">
        <f>Raw!B23</f>
        <v>Convert hand line systems to low pressure systems on alfalfa acreage - Washington</v>
      </c>
      <c r="C22" t="str">
        <f>Raw!C23</f>
        <v>Convert hand line systems to low pressure systems on alfalfa acreage - Washington</v>
      </c>
      <c r="D22">
        <f>Raw!D23</f>
        <v>403.26183697404838</v>
      </c>
      <c r="E22">
        <f>Raw!E23</f>
        <v>10</v>
      </c>
      <c r="F22">
        <f>Raw!F23</f>
        <v>18.340638363294548</v>
      </c>
      <c r="G22">
        <f>Raw!G23</f>
        <v>15.395999999999999</v>
      </c>
      <c r="H22" t="str">
        <f>Raw!H23</f>
        <v>A-Irr-Irr-Irrigation-All-All-E</v>
      </c>
      <c r="I22">
        <f>Raw!I23</f>
        <v>0</v>
      </c>
      <c r="J22">
        <f>Raw!J23</f>
        <v>0</v>
      </c>
      <c r="K22">
        <f>Raw!K23</f>
        <v>0</v>
      </c>
      <c r="L22">
        <f>Raw!L23</f>
        <v>0</v>
      </c>
      <c r="M22">
        <f>Raw!M23</f>
        <v>0</v>
      </c>
      <c r="N22">
        <f>Raw!N23</f>
        <v>0</v>
      </c>
      <c r="O22">
        <f>Raw!O23</f>
        <v>0</v>
      </c>
      <c r="P22">
        <f>Raw!P23</f>
        <v>0</v>
      </c>
      <c r="Q22">
        <f>Raw!Q23</f>
        <v>0</v>
      </c>
    </row>
    <row r="24" spans="1:17">
      <c r="A24" s="95"/>
    </row>
    <row r="25" spans="1:17">
      <c r="A25" s="95"/>
    </row>
    <row r="26" spans="1:17">
      <c r="A26" s="95"/>
    </row>
  </sheetData>
  <mergeCells count="2">
    <mergeCell ref="J5:O5"/>
    <mergeCell ref="P5:Q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0"/>
  <dimension ref="A1:DB72"/>
  <sheetViews>
    <sheetView topLeftCell="C1" workbookViewId="0">
      <selection activeCell="F8" sqref="F8"/>
    </sheetView>
  </sheetViews>
  <sheetFormatPr defaultRowHeight="12.75"/>
  <cols>
    <col min="1" max="1" width="25.42578125" customWidth="1"/>
    <col min="2" max="2" width="105.140625" customWidth="1"/>
    <col min="3" max="3" width="81.42578125" customWidth="1"/>
    <col min="16" max="16" width="9.85546875" customWidth="1"/>
  </cols>
  <sheetData>
    <row r="1" spans="1:106" s="69" customFormat="1" ht="14.25">
      <c r="B1" s="65" t="s">
        <v>0</v>
      </c>
      <c r="C1" s="66"/>
      <c r="D1" s="66"/>
      <c r="E1" s="66"/>
      <c r="F1" s="66"/>
      <c r="G1" s="66"/>
      <c r="H1" s="66"/>
      <c r="I1" s="66"/>
      <c r="J1" s="67"/>
      <c r="K1" s="67"/>
      <c r="L1" s="67"/>
      <c r="M1" s="67"/>
      <c r="N1" s="67"/>
      <c r="O1" s="68"/>
    </row>
    <row r="2" spans="1:106" s="69" customFormat="1">
      <c r="B2" s="70" t="s">
        <v>108</v>
      </c>
      <c r="C2" s="66"/>
      <c r="D2" s="66"/>
      <c r="E2" s="66"/>
      <c r="F2" s="66"/>
      <c r="G2" s="66"/>
      <c r="H2" s="66"/>
      <c r="I2" s="66"/>
      <c r="J2" s="67"/>
      <c r="K2" s="67"/>
      <c r="L2" s="67"/>
      <c r="M2" s="67"/>
      <c r="N2" s="67"/>
      <c r="O2" s="68"/>
      <c r="Q2" s="71"/>
    </row>
    <row r="3" spans="1:106" s="7" customFormat="1">
      <c r="B3" s="8" t="s">
        <v>2</v>
      </c>
      <c r="D3" s="8">
        <v>2012</v>
      </c>
      <c r="K3" s="9"/>
      <c r="L3" s="10"/>
      <c r="CP3" s="10"/>
      <c r="CQ3" s="10"/>
    </row>
    <row r="4" spans="1:106" s="7" customFormat="1"/>
    <row r="5" spans="1: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1:106" s="7" customFormat="1">
      <c r="B6" s="12" t="s">
        <v>3</v>
      </c>
      <c r="C6" s="13"/>
      <c r="D6" s="13"/>
      <c r="E6" s="13"/>
      <c r="F6" s="13"/>
      <c r="G6" s="13"/>
      <c r="H6" s="14"/>
      <c r="I6" s="72"/>
      <c r="J6" s="313" t="s">
        <v>4</v>
      </c>
      <c r="K6" s="314"/>
      <c r="L6" s="314"/>
      <c r="M6" s="314"/>
      <c r="N6" s="314"/>
      <c r="O6" s="315"/>
      <c r="P6" s="316" t="s">
        <v>5</v>
      </c>
      <c r="Q6" s="317"/>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7" customFormat="1" ht="38.25">
      <c r="A7" s="7" t="s">
        <v>107</v>
      </c>
      <c r="B7" s="73" t="s">
        <v>6</v>
      </c>
      <c r="C7" s="73" t="s">
        <v>7</v>
      </c>
      <c r="D7" s="73" t="s">
        <v>8</v>
      </c>
      <c r="E7" s="73" t="s">
        <v>9</v>
      </c>
      <c r="F7" s="73" t="s">
        <v>10</v>
      </c>
      <c r="G7" s="73" t="s">
        <v>11</v>
      </c>
      <c r="H7" s="74" t="s">
        <v>12</v>
      </c>
      <c r="I7" s="74" t="s">
        <v>13</v>
      </c>
      <c r="J7" s="74" t="s">
        <v>14</v>
      </c>
      <c r="K7" s="74" t="s">
        <v>15</v>
      </c>
      <c r="L7" s="74" t="s">
        <v>16</v>
      </c>
      <c r="M7" s="74" t="s">
        <v>17</v>
      </c>
      <c r="N7" s="74" t="s">
        <v>18</v>
      </c>
      <c r="O7" s="74" t="s">
        <v>19</v>
      </c>
      <c r="P7" s="75" t="s">
        <v>20</v>
      </c>
      <c r="Q7" s="74"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c r="A8" t="str">
        <f>RIGHT(B8,LEN(B8)-FIND(" - ",B8)-2)</f>
        <v>Idaho</v>
      </c>
      <c r="B8" t="str">
        <f>Input!A67</f>
        <v>Convert High Pressure Center Pivot to Low pressure system - Idaho</v>
      </c>
      <c r="C8" t="str">
        <f>Input!B67</f>
        <v>Convert High Pressure Center Pivot to Low pressure system - Idaho</v>
      </c>
      <c r="D8" s="63">
        <f>Input!F67</f>
        <v>468.93794237430774</v>
      </c>
      <c r="E8" s="64">
        <f>VLOOKUP($C8,Input!$B$7:$G$22,3,FALSE)</f>
        <v>10</v>
      </c>
      <c r="F8" s="250">
        <f>Input!L67</f>
        <v>64.150000000000006</v>
      </c>
      <c r="G8" s="250">
        <f>Input!M67</f>
        <v>0</v>
      </c>
      <c r="H8" t="s">
        <v>153</v>
      </c>
      <c r="J8" s="250">
        <f>Input!N67</f>
        <v>0</v>
      </c>
      <c r="K8" s="64">
        <f>VLOOKUP($C8,Input!$B$7:$G$22,6,FALSE)</f>
        <v>0</v>
      </c>
      <c r="P8" s="76"/>
    </row>
    <row r="9" spans="1:106">
      <c r="A9" t="str">
        <f t="shared" ref="A9:A23" si="0">RIGHT(B9,LEN(B9)-FIND(" - ",B9)-2)</f>
        <v>Idaho</v>
      </c>
      <c r="B9" t="str">
        <f>Input!A68</f>
        <v>Convert Medium Pressure Center Pivot to Low pressure system - Idaho</v>
      </c>
      <c r="C9" t="str">
        <f>Input!B68</f>
        <v>Convert Medium Pressure Center Pivot to Low pressure system - Idaho</v>
      </c>
      <c r="D9" s="63">
        <f>Input!F68</f>
        <v>269.17982618554754</v>
      </c>
      <c r="E9" s="64">
        <f>VLOOKUP($C9,Input!$B$7:$G$22,3,FALSE)</f>
        <v>10</v>
      </c>
      <c r="F9" s="250">
        <f>Input!L68</f>
        <v>24.056249999999999</v>
      </c>
      <c r="G9" s="250">
        <f>Input!M68</f>
        <v>0</v>
      </c>
      <c r="H9" t="s">
        <v>153</v>
      </c>
      <c r="J9" s="250">
        <f>Input!N68</f>
        <v>4.5098801515939018</v>
      </c>
      <c r="K9" s="64">
        <f>VLOOKUP($C9,Input!$B$7:$G$22,6,FALSE)</f>
        <v>5</v>
      </c>
      <c r="P9" s="76"/>
    </row>
    <row r="10" spans="1:106">
      <c r="A10" t="str">
        <f t="shared" si="0"/>
        <v>Idaho</v>
      </c>
      <c r="B10" t="str">
        <f>Input!A69</f>
        <v>Convert wheel line systems to low pressure systems on alfalfa acreage - Idaho</v>
      </c>
      <c r="C10" t="str">
        <f>Input!B69</f>
        <v>Convert wheel line systems to low pressure systems on alfalfa acreage - Idaho</v>
      </c>
      <c r="D10" s="63">
        <f>Input!F69</f>
        <v>254.89140103061385</v>
      </c>
      <c r="E10" s="64">
        <f>VLOOKUP($C10,Input!$B$7:$G$22,3,FALSE)</f>
        <v>10</v>
      </c>
      <c r="F10" s="250">
        <f>Input!L69</f>
        <v>166.79</v>
      </c>
      <c r="G10" s="250">
        <f>Input!M69</f>
        <v>4.8112499999999994</v>
      </c>
      <c r="H10" t="s">
        <v>153</v>
      </c>
      <c r="J10" s="250">
        <f>Input!N69</f>
        <v>0</v>
      </c>
      <c r="K10" s="64">
        <f>VLOOKUP($C10,Input!$B$7:$G$22,6,FALSE)</f>
        <v>0</v>
      </c>
      <c r="P10" s="76"/>
    </row>
    <row r="11" spans="1:106">
      <c r="A11" t="str">
        <f t="shared" si="0"/>
        <v>Idaho</v>
      </c>
      <c r="B11" t="str">
        <f>Input!A70</f>
        <v>Convert hand line systems to low pressure systems on alfalfa acreage - Idaho</v>
      </c>
      <c r="C11" t="str">
        <f>Input!B70</f>
        <v>Convert hand line systems to low pressure systems on alfalfa acreage - Idaho</v>
      </c>
      <c r="D11" s="63">
        <f>Input!F70</f>
        <v>254.89140103061385</v>
      </c>
      <c r="E11" s="64">
        <f>VLOOKUP($C11,Input!$B$7:$G$22,3,FALSE)</f>
        <v>10</v>
      </c>
      <c r="F11" s="250">
        <f>Input!L70</f>
        <v>38.489999999999995</v>
      </c>
      <c r="G11" s="250">
        <f>Input!M70</f>
        <v>15.395999999999999</v>
      </c>
      <c r="H11" t="s">
        <v>153</v>
      </c>
      <c r="J11" s="250">
        <f>Input!N70</f>
        <v>0</v>
      </c>
      <c r="K11" s="64">
        <f>VLOOKUP($C11,Input!$B$7:$G$22,6,FALSE)</f>
        <v>0</v>
      </c>
    </row>
    <row r="12" spans="1:106">
      <c r="A12" t="str">
        <f t="shared" si="0"/>
        <v>Montana</v>
      </c>
      <c r="B12" t="str">
        <f>Input!A71</f>
        <v>Convert High Pressure Center Pivot to Low pressure system - Montana</v>
      </c>
      <c r="C12" t="str">
        <f>Input!B71</f>
        <v>Convert High Pressure Center Pivot to Low pressure system - Montana</v>
      </c>
      <c r="D12" s="63">
        <f>Input!F71</f>
        <v>268.2525780049383</v>
      </c>
      <c r="E12" s="64">
        <f>VLOOKUP($C12,Input!$B$7:$G$22,3,FALSE)</f>
        <v>10</v>
      </c>
      <c r="F12" s="250">
        <f>Input!L71</f>
        <v>64.150000000000006</v>
      </c>
      <c r="G12" s="250">
        <f>Input!M71</f>
        <v>0</v>
      </c>
      <c r="H12" t="s">
        <v>153</v>
      </c>
      <c r="J12" s="250">
        <f>Input!N71</f>
        <v>0</v>
      </c>
      <c r="K12" s="64">
        <f>VLOOKUP($C12,Input!$B$7:$G$22,6,FALSE)</f>
        <v>0</v>
      </c>
    </row>
    <row r="13" spans="1:106">
      <c r="A13" t="str">
        <f t="shared" si="0"/>
        <v>Montana</v>
      </c>
      <c r="B13" t="str">
        <f>Input!A72</f>
        <v>Convert Medium Pressure Center Pivot to Low pressure system - Montana</v>
      </c>
      <c r="C13" t="str">
        <f>Input!B72</f>
        <v>Convert Medium Pressure Center Pivot to Low pressure system - Montana</v>
      </c>
      <c r="D13" s="63">
        <f>Input!F72</f>
        <v>155.81570539639128</v>
      </c>
      <c r="E13" s="64">
        <f>VLOOKUP($C13,Input!$B$7:$G$22,3,FALSE)</f>
        <v>10</v>
      </c>
      <c r="F13" s="250">
        <f>Input!L72</f>
        <v>24.056249999999999</v>
      </c>
      <c r="G13" s="250">
        <f>Input!M72</f>
        <v>0</v>
      </c>
      <c r="H13" t="s">
        <v>153</v>
      </c>
      <c r="J13" s="250">
        <f>Input!N72</f>
        <v>4.437288302933398</v>
      </c>
      <c r="K13" s="64">
        <f>VLOOKUP($C13,Input!$B$7:$G$22,6,FALSE)</f>
        <v>5</v>
      </c>
    </row>
    <row r="14" spans="1:106">
      <c r="A14" t="str">
        <f t="shared" si="0"/>
        <v>Montana</v>
      </c>
      <c r="B14" t="str">
        <f>Input!A73</f>
        <v>Convert wheel line systems to low pressure systems on alfalfa acreage - Montana</v>
      </c>
      <c r="C14" t="str">
        <f>Input!B73</f>
        <v>Convert wheel line systems to low pressure systems on alfalfa acreage - Montana</v>
      </c>
      <c r="D14" s="63">
        <f>Input!F73</f>
        <v>189.70378431349377</v>
      </c>
      <c r="E14" s="64">
        <f>VLOOKUP($C14,Input!$B$7:$G$22,3,FALSE)</f>
        <v>10</v>
      </c>
      <c r="F14" s="250">
        <f>Input!L73</f>
        <v>166.79</v>
      </c>
      <c r="G14" s="250">
        <f>Input!M73</f>
        <v>4.8112499999999994</v>
      </c>
      <c r="H14" t="s">
        <v>153</v>
      </c>
      <c r="J14" s="250">
        <f>Input!N73</f>
        <v>0</v>
      </c>
      <c r="K14" s="64">
        <f>VLOOKUP($C14,Input!$B$7:$G$22,6,FALSE)</f>
        <v>0</v>
      </c>
    </row>
    <row r="15" spans="1:106">
      <c r="A15" t="str">
        <f t="shared" si="0"/>
        <v>Montana</v>
      </c>
      <c r="B15" t="str">
        <f>Input!A74</f>
        <v>Convert hand line systems to low pressure systems on alfalfa acreage - Montana</v>
      </c>
      <c r="C15" t="str">
        <f>Input!B74</f>
        <v>Convert hand line systems to low pressure systems on alfalfa acreage - Montana</v>
      </c>
      <c r="D15" s="63">
        <f>Input!F74</f>
        <v>189.70378431349377</v>
      </c>
      <c r="E15" s="64">
        <f>VLOOKUP($C15,Input!$B$7:$G$22,3,FALSE)</f>
        <v>10</v>
      </c>
      <c r="F15" s="250">
        <f>Input!L74</f>
        <v>64.150000000000006</v>
      </c>
      <c r="G15" s="250">
        <f>Input!M74</f>
        <v>15.395999999999999</v>
      </c>
      <c r="H15" t="s">
        <v>153</v>
      </c>
      <c r="J15" s="250">
        <f>Input!N74</f>
        <v>0</v>
      </c>
      <c r="K15" s="64">
        <f>VLOOKUP($C15,Input!$B$7:$G$22,6,FALSE)</f>
        <v>0</v>
      </c>
    </row>
    <row r="16" spans="1:106">
      <c r="A16" t="str">
        <f t="shared" si="0"/>
        <v>Oregon</v>
      </c>
      <c r="B16" t="str">
        <f>Input!A75</f>
        <v>Convert High Pressure Center Pivot to Low pressure system - Oregon</v>
      </c>
      <c r="C16" t="str">
        <f>Input!B75</f>
        <v>Convert High Pressure Center Pivot to Low pressure system - Oregon</v>
      </c>
      <c r="D16" s="63">
        <f>Input!F75</f>
        <v>401.32895738875931</v>
      </c>
      <c r="E16" s="64">
        <f>VLOOKUP($C16,Input!$B$7:$G$22,3,FALSE)</f>
        <v>10</v>
      </c>
      <c r="F16" s="250">
        <f>Input!L75</f>
        <v>49.322923996876881</v>
      </c>
      <c r="G16" s="250">
        <f>Input!M75</f>
        <v>0</v>
      </c>
      <c r="H16" t="s">
        <v>153</v>
      </c>
      <c r="J16" s="250">
        <f>Input!N75</f>
        <v>0</v>
      </c>
      <c r="K16" s="64">
        <f>VLOOKUP($C16,Input!$B$7:$G$22,6,FALSE)</f>
        <v>0</v>
      </c>
    </row>
    <row r="17" spans="1:11">
      <c r="A17" t="str">
        <f t="shared" si="0"/>
        <v>Oregon</v>
      </c>
      <c r="B17" t="str">
        <f>Input!A76</f>
        <v>Convert Medium Pressure Center Pivot to Low pressure system - Oregon</v>
      </c>
      <c r="C17" t="str">
        <f>Input!B76</f>
        <v>Convert Medium Pressure Center Pivot to Low pressure system - Oregon</v>
      </c>
      <c r="D17" s="63">
        <f>Input!F76</f>
        <v>241.03672164516954</v>
      </c>
      <c r="E17" s="64">
        <f>VLOOKUP($C17,Input!$B$7:$G$22,3,FALSE)</f>
        <v>10</v>
      </c>
      <c r="F17" s="250">
        <f>Input!L76</f>
        <v>341.97227304501308</v>
      </c>
      <c r="G17" s="250">
        <f>Input!M76</f>
        <v>0</v>
      </c>
      <c r="H17" t="s">
        <v>153</v>
      </c>
      <c r="J17" s="250">
        <f>Input!N76</f>
        <v>9.0978449973630475</v>
      </c>
      <c r="K17" s="64">
        <f>VLOOKUP($C17,Input!$B$7:$G$22,6,FALSE)</f>
        <v>5</v>
      </c>
    </row>
    <row r="18" spans="1:11">
      <c r="A18" t="str">
        <f t="shared" si="0"/>
        <v>Oregon</v>
      </c>
      <c r="B18" t="str">
        <f>Input!A77</f>
        <v>Convert wheel line systems to low pressure systems on alfalfa acreage - Oregon</v>
      </c>
      <c r="C18" t="str">
        <f>Input!B77</f>
        <v>Convert wheel line systems to low pressure systems on alfalfa acreage - Oregon</v>
      </c>
      <c r="D18" s="63">
        <f>Input!F77</f>
        <v>392.11107274840714</v>
      </c>
      <c r="E18" s="64">
        <f>VLOOKUP($C18,Input!$B$7:$G$22,3,FALSE)</f>
        <v>10</v>
      </c>
      <c r="F18" s="250">
        <f>Input!L77</f>
        <v>78.916678395003004</v>
      </c>
      <c r="G18" s="250">
        <f>Input!M77</f>
        <v>4.8112499999999994</v>
      </c>
      <c r="H18" t="s">
        <v>153</v>
      </c>
      <c r="J18" s="250">
        <f>Input!N77</f>
        <v>0</v>
      </c>
      <c r="K18" s="64">
        <f>VLOOKUP($C18,Input!$B$7:$G$22,6,FALSE)</f>
        <v>0</v>
      </c>
    </row>
    <row r="19" spans="1:11">
      <c r="A19" t="str">
        <f t="shared" si="0"/>
        <v>Oregon</v>
      </c>
      <c r="B19" t="str">
        <f>Input!A78</f>
        <v>Convert hand line systems to low pressure systems on alfalfa acreage - Oregon</v>
      </c>
      <c r="C19" t="str">
        <f>Input!B78</f>
        <v>Convert hand line systems to low pressure systems on alfalfa acreage - Oregon</v>
      </c>
      <c r="D19" s="63">
        <f>Input!F78</f>
        <v>392.11107274840714</v>
      </c>
      <c r="E19" s="64">
        <f>VLOOKUP($C19,Input!$B$7:$G$22,3,FALSE)</f>
        <v>10</v>
      </c>
      <c r="F19" s="250">
        <f>Input!L78</f>
        <v>38.489999999999995</v>
      </c>
      <c r="G19" s="250">
        <f>Input!M78</f>
        <v>15.395999999999999</v>
      </c>
      <c r="H19" t="s">
        <v>153</v>
      </c>
      <c r="J19" s="250">
        <f>Input!N78</f>
        <v>0</v>
      </c>
      <c r="K19" s="64">
        <f>VLOOKUP($C19,Input!$B$7:$G$22,6,FALSE)</f>
        <v>0</v>
      </c>
    </row>
    <row r="20" spans="1:11">
      <c r="A20" t="str">
        <f t="shared" si="0"/>
        <v>Washington</v>
      </c>
      <c r="B20" t="str">
        <f>Input!A79</f>
        <v>Convert High Pressure Center Pivot to Low pressure system - Washington</v>
      </c>
      <c r="C20" t="str">
        <f>Input!B79</f>
        <v>Convert High Pressure Center Pivot to Low pressure system - Washington</v>
      </c>
      <c r="D20" s="63">
        <f>Input!F79</f>
        <v>677.76274432530477</v>
      </c>
      <c r="E20" s="64">
        <f>VLOOKUP($C20,Input!$B$7:$G$22,3,FALSE)</f>
        <v>10</v>
      </c>
      <c r="F20" s="250">
        <f>Input!L79</f>
        <v>64.150000000000006</v>
      </c>
      <c r="G20" s="250">
        <f>Input!M79</f>
        <v>0</v>
      </c>
      <c r="H20" t="s">
        <v>153</v>
      </c>
      <c r="J20" s="250">
        <f>Input!N79</f>
        <v>0</v>
      </c>
      <c r="K20" s="64">
        <f>VLOOKUP($C20,Input!$B$7:$G$22,6,FALSE)</f>
        <v>0</v>
      </c>
    </row>
    <row r="21" spans="1:11">
      <c r="A21" t="str">
        <f t="shared" si="0"/>
        <v>Washington</v>
      </c>
      <c r="B21" t="str">
        <f>Input!A80</f>
        <v>Convert Medium Pressure Center Pivot to Low pressure system - Washington</v>
      </c>
      <c r="C21" t="str">
        <f>Input!B80</f>
        <v>Convert Medium Pressure Center Pivot to Low pressure system - Washington</v>
      </c>
      <c r="D21" s="63">
        <f>Input!F80</f>
        <v>445.05114309453501</v>
      </c>
      <c r="E21" s="64">
        <f>VLOOKUP($C21,Input!$B$7:$G$22,3,FALSE)</f>
        <v>10</v>
      </c>
      <c r="F21" s="250">
        <f>Input!L80</f>
        <v>24.056249999999999</v>
      </c>
      <c r="G21" s="250">
        <f>Input!M80</f>
        <v>0</v>
      </c>
      <c r="H21" t="s">
        <v>153</v>
      </c>
      <c r="J21" s="250">
        <f>Input!N80</f>
        <v>6.936255026529242</v>
      </c>
      <c r="K21" s="64">
        <f>VLOOKUP($C21,Input!$B$7:$G$22,6,FALSE)</f>
        <v>5</v>
      </c>
    </row>
    <row r="22" spans="1:11">
      <c r="A22" t="str">
        <f t="shared" si="0"/>
        <v>Washington</v>
      </c>
      <c r="B22" t="str">
        <f>Input!A81</f>
        <v>Convert wheel line systems to low pressure systems on alfalfa acreage - Washington</v>
      </c>
      <c r="C22" t="str">
        <f>Input!B81</f>
        <v>Convert wheel line systems to low pressure systems on alfalfa acreage - Washington</v>
      </c>
      <c r="D22" s="63">
        <f>Input!F81</f>
        <v>403.26183697404838</v>
      </c>
      <c r="E22" s="64">
        <f>VLOOKUP($C22,Input!$B$7:$G$22,3,FALSE)</f>
        <v>10</v>
      </c>
      <c r="F22" s="250">
        <f>Input!L81</f>
        <v>48.908368968785467</v>
      </c>
      <c r="G22" s="250">
        <f>Input!M81</f>
        <v>4.8112499999999994</v>
      </c>
      <c r="H22" t="s">
        <v>153</v>
      </c>
      <c r="J22" s="250">
        <f>Input!N81</f>
        <v>0</v>
      </c>
      <c r="K22" s="64">
        <f>VLOOKUP($C22,Input!$B$7:$G$22,6,FALSE)</f>
        <v>0</v>
      </c>
    </row>
    <row r="23" spans="1:11">
      <c r="A23" t="str">
        <f t="shared" si="0"/>
        <v>Washington</v>
      </c>
      <c r="B23" t="str">
        <f>Input!A82</f>
        <v>Convert hand line systems to low pressure systems on alfalfa acreage - Washington</v>
      </c>
      <c r="C23" t="str">
        <f>Input!B82</f>
        <v>Convert hand line systems to low pressure systems on alfalfa acreage - Washington</v>
      </c>
      <c r="D23" s="63">
        <f>Input!F82</f>
        <v>403.26183697404838</v>
      </c>
      <c r="E23" s="64">
        <f>VLOOKUP($C23,Input!$B$7:$G$22,3,FALSE)</f>
        <v>10</v>
      </c>
      <c r="F23" s="250">
        <f>Input!L82</f>
        <v>18.340638363294548</v>
      </c>
      <c r="G23" s="250">
        <f>Input!M82</f>
        <v>15.395999999999999</v>
      </c>
      <c r="H23" t="s">
        <v>153</v>
      </c>
      <c r="J23" s="250">
        <f>Input!N82</f>
        <v>0</v>
      </c>
      <c r="K23" s="64">
        <f>VLOOKUP($C23,Input!$B$7:$G$22,6,FALSE)</f>
        <v>0</v>
      </c>
    </row>
    <row r="24" spans="1:11">
      <c r="D24" s="63"/>
      <c r="F24" s="94"/>
    </row>
    <row r="25" spans="1:11">
      <c r="D25" s="63"/>
      <c r="F25" s="94"/>
    </row>
    <row r="26" spans="1:11">
      <c r="D26" s="63"/>
      <c r="F26" s="94"/>
    </row>
    <row r="27" spans="1:11">
      <c r="D27" s="63"/>
      <c r="F27" s="94"/>
    </row>
    <row r="28" spans="1:11">
      <c r="F28" s="94"/>
    </row>
    <row r="29" spans="1:11">
      <c r="F29" s="94"/>
    </row>
    <row r="30" spans="1:11">
      <c r="F30" s="94"/>
    </row>
    <row r="31" spans="1:11">
      <c r="F31" s="94"/>
    </row>
    <row r="32" spans="1:11">
      <c r="F32" s="94"/>
    </row>
    <row r="33" spans="6:6">
      <c r="F33" s="94"/>
    </row>
    <row r="34" spans="6:6">
      <c r="F34" s="94"/>
    </row>
    <row r="35" spans="6:6">
      <c r="F35" s="94"/>
    </row>
    <row r="36" spans="6:6">
      <c r="F36" s="94"/>
    </row>
    <row r="37" spans="6:6">
      <c r="F37" s="94"/>
    </row>
    <row r="38" spans="6:6">
      <c r="F38" s="94"/>
    </row>
    <row r="39" spans="6:6">
      <c r="F39" s="94"/>
    </row>
    <row r="40" spans="6:6">
      <c r="F40" s="94"/>
    </row>
    <row r="41" spans="6:6">
      <c r="F41" s="94"/>
    </row>
    <row r="42" spans="6:6">
      <c r="F42" s="94"/>
    </row>
    <row r="43" spans="6:6">
      <c r="F43" s="94"/>
    </row>
    <row r="44" spans="6:6">
      <c r="F44" s="94"/>
    </row>
    <row r="45" spans="6:6">
      <c r="F45" s="94"/>
    </row>
    <row r="46" spans="6:6">
      <c r="F46" s="94"/>
    </row>
    <row r="47" spans="6:6">
      <c r="F47" s="94"/>
    </row>
    <row r="48" spans="6:6">
      <c r="F48" s="94"/>
    </row>
    <row r="49" spans="6:6">
      <c r="F49" s="94"/>
    </row>
    <row r="50" spans="6:6">
      <c r="F50" s="94"/>
    </row>
    <row r="51" spans="6:6">
      <c r="F51" s="94"/>
    </row>
    <row r="52" spans="6:6">
      <c r="F52" s="94"/>
    </row>
    <row r="53" spans="6:6">
      <c r="F53" s="94"/>
    </row>
    <row r="54" spans="6:6">
      <c r="F54" s="94"/>
    </row>
    <row r="55" spans="6:6">
      <c r="F55" s="94"/>
    </row>
    <row r="56" spans="6:6">
      <c r="F56" s="94"/>
    </row>
    <row r="57" spans="6:6">
      <c r="F57" s="94"/>
    </row>
    <row r="58" spans="6:6">
      <c r="F58" s="94"/>
    </row>
    <row r="59" spans="6:6">
      <c r="F59" s="94"/>
    </row>
    <row r="60" spans="6:6">
      <c r="F60" s="94"/>
    </row>
    <row r="61" spans="6:6">
      <c r="F61" s="94"/>
    </row>
    <row r="62" spans="6:6">
      <c r="F62" s="94"/>
    </row>
    <row r="63" spans="6:6">
      <c r="F63" s="94"/>
    </row>
    <row r="64" spans="6:6">
      <c r="F64" s="94"/>
    </row>
    <row r="65" spans="6:6">
      <c r="F65" s="94"/>
    </row>
    <row r="66" spans="6:6">
      <c r="F66" s="94"/>
    </row>
    <row r="67" spans="6:6">
      <c r="F67" s="94"/>
    </row>
    <row r="68" spans="6:6">
      <c r="F68" s="94"/>
    </row>
    <row r="69" spans="6:6">
      <c r="F69" s="94"/>
    </row>
    <row r="70" spans="6:6">
      <c r="F70" s="94"/>
    </row>
    <row r="71" spans="6:6">
      <c r="F71" s="94"/>
    </row>
    <row r="72" spans="6:6">
      <c r="F72" s="94"/>
    </row>
  </sheetData>
  <mergeCells count="2">
    <mergeCell ref="J6:O6"/>
    <mergeCell ref="P6:Q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6"/>
  <dimension ref="A1:AU129"/>
  <sheetViews>
    <sheetView workbookViewId="0">
      <selection activeCell="C7" sqref="C7"/>
    </sheetView>
  </sheetViews>
  <sheetFormatPr defaultRowHeight="12.75"/>
  <cols>
    <col min="1" max="1" width="66.42578125" style="130" customWidth="1"/>
    <col min="2" max="2" width="75.140625" style="130" customWidth="1"/>
    <col min="3" max="3" width="14.42578125" style="130" customWidth="1"/>
    <col min="4" max="4" width="13.42578125" style="130" customWidth="1"/>
    <col min="5" max="5" width="15.5703125" style="130" customWidth="1"/>
    <col min="6" max="6" width="17.42578125" style="130" customWidth="1"/>
    <col min="7" max="7" width="11.85546875" style="130" customWidth="1"/>
    <col min="8" max="8" width="16" style="130" customWidth="1"/>
    <col min="9" max="9" width="13.140625" style="130" customWidth="1"/>
    <col min="10" max="10" width="12" style="130" customWidth="1"/>
    <col min="11" max="11" width="15.140625" style="130" customWidth="1"/>
    <col min="12" max="12" width="15.85546875" style="130" customWidth="1"/>
    <col min="13" max="13" width="14.85546875" style="130" customWidth="1"/>
    <col min="14" max="14" width="13.5703125" style="130" customWidth="1"/>
    <col min="15" max="15" width="15.28515625" style="130" customWidth="1"/>
    <col min="16" max="16" width="12.7109375" style="130" customWidth="1"/>
    <col min="17" max="17" width="14" style="130" customWidth="1"/>
    <col min="18" max="18" width="12.42578125" style="130" customWidth="1"/>
    <col min="19" max="19" width="13" style="130" customWidth="1"/>
    <col min="20" max="20" width="13.42578125" style="130" customWidth="1"/>
    <col min="21" max="21" width="17.7109375" style="130" customWidth="1"/>
    <col min="22" max="22" width="19.140625" style="130" customWidth="1"/>
    <col min="23" max="23" width="12.5703125" style="130" bestFit="1" customWidth="1"/>
    <col min="24" max="24" width="11.85546875" style="130" customWidth="1"/>
    <col min="25" max="25" width="13.140625" style="130" customWidth="1"/>
    <col min="26" max="26" width="14.140625" style="130" customWidth="1"/>
    <col min="27" max="27" width="14.7109375" style="130" customWidth="1"/>
    <col min="28" max="28" width="10.7109375" style="130" customWidth="1"/>
    <col min="29" max="29" width="12.42578125" style="130" customWidth="1"/>
    <col min="30" max="30" width="13.42578125" style="130" customWidth="1"/>
    <col min="31" max="31" width="13" style="130" customWidth="1"/>
    <col min="32" max="32" width="11.85546875" style="130" customWidth="1"/>
    <col min="33" max="33" width="12" style="130" customWidth="1"/>
    <col min="34" max="34" width="9.140625" style="130"/>
    <col min="35" max="35" width="12.7109375" style="130" customWidth="1"/>
    <col min="36" max="36" width="13.5703125" style="130" customWidth="1"/>
    <col min="37" max="37" width="15.28515625" style="130" customWidth="1"/>
    <col min="38" max="38" width="17" style="130" customWidth="1"/>
    <col min="39" max="39" width="18.140625" style="130" customWidth="1"/>
    <col min="40" max="40" width="12.85546875" style="130" customWidth="1"/>
    <col min="41" max="41" width="17.5703125" style="130" customWidth="1"/>
    <col min="42" max="42" width="15.140625" style="130" customWidth="1"/>
    <col min="43" max="43" width="11.28515625" style="130" customWidth="1"/>
    <col min="44" max="44" width="11.85546875" style="130" customWidth="1"/>
    <col min="45" max="45" width="12" style="130" customWidth="1"/>
    <col min="46" max="46" width="9.140625" style="130"/>
    <col min="47" max="47" width="51.5703125" style="130" customWidth="1"/>
    <col min="48" max="48" width="14.28515625" style="130" customWidth="1"/>
    <col min="49" max="49" width="20.42578125" style="130" customWidth="1"/>
    <col min="50" max="256" width="9.140625" style="130"/>
    <col min="257" max="257" width="66.42578125" style="130" customWidth="1"/>
    <col min="258" max="258" width="75.140625" style="130" customWidth="1"/>
    <col min="259" max="259" width="14.42578125" style="130" customWidth="1"/>
    <col min="260" max="260" width="13.42578125" style="130" customWidth="1"/>
    <col min="261" max="261" width="15.5703125" style="130" customWidth="1"/>
    <col min="262" max="262" width="17.42578125" style="130" customWidth="1"/>
    <col min="263" max="263" width="11.85546875" style="130" customWidth="1"/>
    <col min="264" max="264" width="16" style="130" customWidth="1"/>
    <col min="265" max="265" width="13.140625" style="130" customWidth="1"/>
    <col min="266" max="266" width="12" style="130" customWidth="1"/>
    <col min="267" max="267" width="15.140625" style="130" customWidth="1"/>
    <col min="268" max="268" width="15.85546875" style="130" customWidth="1"/>
    <col min="269" max="269" width="14.85546875" style="130" customWidth="1"/>
    <col min="270" max="270" width="13.5703125" style="130" customWidth="1"/>
    <col min="271" max="271" width="15.28515625" style="130" customWidth="1"/>
    <col min="272" max="272" width="12.7109375" style="130" customWidth="1"/>
    <col min="273" max="273" width="14" style="130" customWidth="1"/>
    <col min="274" max="274" width="12.42578125" style="130" customWidth="1"/>
    <col min="275" max="275" width="13" style="130" customWidth="1"/>
    <col min="276" max="276" width="13.42578125" style="130" customWidth="1"/>
    <col min="277" max="277" width="17.7109375" style="130" customWidth="1"/>
    <col min="278" max="278" width="19.140625" style="130" customWidth="1"/>
    <col min="279" max="279" width="12.5703125" style="130" bestFit="1" customWidth="1"/>
    <col min="280" max="280" width="11.85546875" style="130" customWidth="1"/>
    <col min="281" max="281" width="13.140625" style="130" customWidth="1"/>
    <col min="282" max="282" width="14.140625" style="130" customWidth="1"/>
    <col min="283" max="283" width="14.7109375" style="130" customWidth="1"/>
    <col min="284" max="284" width="10.7109375" style="130" customWidth="1"/>
    <col min="285" max="285" width="12.42578125" style="130" customWidth="1"/>
    <col min="286" max="286" width="13.42578125" style="130" customWidth="1"/>
    <col min="287" max="287" width="13" style="130" customWidth="1"/>
    <col min="288" max="288" width="11.85546875" style="130" customWidth="1"/>
    <col min="289" max="289" width="12" style="130" customWidth="1"/>
    <col min="290" max="290" width="9.140625" style="130"/>
    <col min="291" max="291" width="12.7109375" style="130" customWidth="1"/>
    <col min="292" max="292" width="13.5703125" style="130" customWidth="1"/>
    <col min="293" max="293" width="15.28515625" style="130" customWidth="1"/>
    <col min="294" max="294" width="17" style="130" customWidth="1"/>
    <col min="295" max="295" width="18.140625" style="130" customWidth="1"/>
    <col min="296" max="296" width="12.85546875" style="130" customWidth="1"/>
    <col min="297" max="297" width="17.5703125" style="130" customWidth="1"/>
    <col min="298" max="298" width="15.140625" style="130" customWidth="1"/>
    <col min="299" max="299" width="11.28515625" style="130" customWidth="1"/>
    <col min="300" max="300" width="11.85546875" style="130" customWidth="1"/>
    <col min="301" max="301" width="12" style="130" customWidth="1"/>
    <col min="302" max="302" width="9.140625" style="130"/>
    <col min="303" max="303" width="51.5703125" style="130" customWidth="1"/>
    <col min="304" max="304" width="14.28515625" style="130" customWidth="1"/>
    <col min="305" max="305" width="20.42578125" style="130" customWidth="1"/>
    <col min="306" max="512" width="9.140625" style="130"/>
    <col min="513" max="513" width="66.42578125" style="130" customWidth="1"/>
    <col min="514" max="514" width="75.140625" style="130" customWidth="1"/>
    <col min="515" max="515" width="14.42578125" style="130" customWidth="1"/>
    <col min="516" max="516" width="13.42578125" style="130" customWidth="1"/>
    <col min="517" max="517" width="15.5703125" style="130" customWidth="1"/>
    <col min="518" max="518" width="17.42578125" style="130" customWidth="1"/>
    <col min="519" max="519" width="11.85546875" style="130" customWidth="1"/>
    <col min="520" max="520" width="16" style="130" customWidth="1"/>
    <col min="521" max="521" width="13.140625" style="130" customWidth="1"/>
    <col min="522" max="522" width="12" style="130" customWidth="1"/>
    <col min="523" max="523" width="15.140625" style="130" customWidth="1"/>
    <col min="524" max="524" width="15.85546875" style="130" customWidth="1"/>
    <col min="525" max="525" width="14.85546875" style="130" customWidth="1"/>
    <col min="526" max="526" width="13.5703125" style="130" customWidth="1"/>
    <col min="527" max="527" width="15.28515625" style="130" customWidth="1"/>
    <col min="528" max="528" width="12.7109375" style="130" customWidth="1"/>
    <col min="529" max="529" width="14" style="130" customWidth="1"/>
    <col min="530" max="530" width="12.42578125" style="130" customWidth="1"/>
    <col min="531" max="531" width="13" style="130" customWidth="1"/>
    <col min="532" max="532" width="13.42578125" style="130" customWidth="1"/>
    <col min="533" max="533" width="17.7109375" style="130" customWidth="1"/>
    <col min="534" max="534" width="19.140625" style="130" customWidth="1"/>
    <col min="535" max="535" width="12.5703125" style="130" bestFit="1" customWidth="1"/>
    <col min="536" max="536" width="11.85546875" style="130" customWidth="1"/>
    <col min="537" max="537" width="13.140625" style="130" customWidth="1"/>
    <col min="538" max="538" width="14.140625" style="130" customWidth="1"/>
    <col min="539" max="539" width="14.7109375" style="130" customWidth="1"/>
    <col min="540" max="540" width="10.7109375" style="130" customWidth="1"/>
    <col min="541" max="541" width="12.42578125" style="130" customWidth="1"/>
    <col min="542" max="542" width="13.42578125" style="130" customWidth="1"/>
    <col min="543" max="543" width="13" style="130" customWidth="1"/>
    <col min="544" max="544" width="11.85546875" style="130" customWidth="1"/>
    <col min="545" max="545" width="12" style="130" customWidth="1"/>
    <col min="546" max="546" width="9.140625" style="130"/>
    <col min="547" max="547" width="12.7109375" style="130" customWidth="1"/>
    <col min="548" max="548" width="13.5703125" style="130" customWidth="1"/>
    <col min="549" max="549" width="15.28515625" style="130" customWidth="1"/>
    <col min="550" max="550" width="17" style="130" customWidth="1"/>
    <col min="551" max="551" width="18.140625" style="130" customWidth="1"/>
    <col min="552" max="552" width="12.85546875" style="130" customWidth="1"/>
    <col min="553" max="553" width="17.5703125" style="130" customWidth="1"/>
    <col min="554" max="554" width="15.140625" style="130" customWidth="1"/>
    <col min="555" max="555" width="11.28515625" style="130" customWidth="1"/>
    <col min="556" max="556" width="11.85546875" style="130" customWidth="1"/>
    <col min="557" max="557" width="12" style="130" customWidth="1"/>
    <col min="558" max="558" width="9.140625" style="130"/>
    <col min="559" max="559" width="51.5703125" style="130" customWidth="1"/>
    <col min="560" max="560" width="14.28515625" style="130" customWidth="1"/>
    <col min="561" max="561" width="20.42578125" style="130" customWidth="1"/>
    <col min="562" max="768" width="9.140625" style="130"/>
    <col min="769" max="769" width="66.42578125" style="130" customWidth="1"/>
    <col min="770" max="770" width="75.140625" style="130" customWidth="1"/>
    <col min="771" max="771" width="14.42578125" style="130" customWidth="1"/>
    <col min="772" max="772" width="13.42578125" style="130" customWidth="1"/>
    <col min="773" max="773" width="15.5703125" style="130" customWidth="1"/>
    <col min="774" max="774" width="17.42578125" style="130" customWidth="1"/>
    <col min="775" max="775" width="11.85546875" style="130" customWidth="1"/>
    <col min="776" max="776" width="16" style="130" customWidth="1"/>
    <col min="777" max="777" width="13.140625" style="130" customWidth="1"/>
    <col min="778" max="778" width="12" style="130" customWidth="1"/>
    <col min="779" max="779" width="15.140625" style="130" customWidth="1"/>
    <col min="780" max="780" width="15.85546875" style="130" customWidth="1"/>
    <col min="781" max="781" width="14.85546875" style="130" customWidth="1"/>
    <col min="782" max="782" width="13.5703125" style="130" customWidth="1"/>
    <col min="783" max="783" width="15.28515625" style="130" customWidth="1"/>
    <col min="784" max="784" width="12.7109375" style="130" customWidth="1"/>
    <col min="785" max="785" width="14" style="130" customWidth="1"/>
    <col min="786" max="786" width="12.42578125" style="130" customWidth="1"/>
    <col min="787" max="787" width="13" style="130" customWidth="1"/>
    <col min="788" max="788" width="13.42578125" style="130" customWidth="1"/>
    <col min="789" max="789" width="17.7109375" style="130" customWidth="1"/>
    <col min="790" max="790" width="19.140625" style="130" customWidth="1"/>
    <col min="791" max="791" width="12.5703125" style="130" bestFit="1" customWidth="1"/>
    <col min="792" max="792" width="11.85546875" style="130" customWidth="1"/>
    <col min="793" max="793" width="13.140625" style="130" customWidth="1"/>
    <col min="794" max="794" width="14.140625" style="130" customWidth="1"/>
    <col min="795" max="795" width="14.7109375" style="130" customWidth="1"/>
    <col min="796" max="796" width="10.7109375" style="130" customWidth="1"/>
    <col min="797" max="797" width="12.42578125" style="130" customWidth="1"/>
    <col min="798" max="798" width="13.42578125" style="130" customWidth="1"/>
    <col min="799" max="799" width="13" style="130" customWidth="1"/>
    <col min="800" max="800" width="11.85546875" style="130" customWidth="1"/>
    <col min="801" max="801" width="12" style="130" customWidth="1"/>
    <col min="802" max="802" width="9.140625" style="130"/>
    <col min="803" max="803" width="12.7109375" style="130" customWidth="1"/>
    <col min="804" max="804" width="13.5703125" style="130" customWidth="1"/>
    <col min="805" max="805" width="15.28515625" style="130" customWidth="1"/>
    <col min="806" max="806" width="17" style="130" customWidth="1"/>
    <col min="807" max="807" width="18.140625" style="130" customWidth="1"/>
    <col min="808" max="808" width="12.85546875" style="130" customWidth="1"/>
    <col min="809" max="809" width="17.5703125" style="130" customWidth="1"/>
    <col min="810" max="810" width="15.140625" style="130" customWidth="1"/>
    <col min="811" max="811" width="11.28515625" style="130" customWidth="1"/>
    <col min="812" max="812" width="11.85546875" style="130" customWidth="1"/>
    <col min="813" max="813" width="12" style="130" customWidth="1"/>
    <col min="814" max="814" width="9.140625" style="130"/>
    <col min="815" max="815" width="51.5703125" style="130" customWidth="1"/>
    <col min="816" max="816" width="14.28515625" style="130" customWidth="1"/>
    <col min="817" max="817" width="20.42578125" style="130" customWidth="1"/>
    <col min="818" max="1024" width="9.140625" style="130"/>
    <col min="1025" max="1025" width="66.42578125" style="130" customWidth="1"/>
    <col min="1026" max="1026" width="75.140625" style="130" customWidth="1"/>
    <col min="1027" max="1027" width="14.42578125" style="130" customWidth="1"/>
    <col min="1028" max="1028" width="13.42578125" style="130" customWidth="1"/>
    <col min="1029" max="1029" width="15.5703125" style="130" customWidth="1"/>
    <col min="1030" max="1030" width="17.42578125" style="130" customWidth="1"/>
    <col min="1031" max="1031" width="11.85546875" style="130" customWidth="1"/>
    <col min="1032" max="1032" width="16" style="130" customWidth="1"/>
    <col min="1033" max="1033" width="13.140625" style="130" customWidth="1"/>
    <col min="1034" max="1034" width="12" style="130" customWidth="1"/>
    <col min="1035" max="1035" width="15.140625" style="130" customWidth="1"/>
    <col min="1036" max="1036" width="15.85546875" style="130" customWidth="1"/>
    <col min="1037" max="1037" width="14.85546875" style="130" customWidth="1"/>
    <col min="1038" max="1038" width="13.5703125" style="130" customWidth="1"/>
    <col min="1039" max="1039" width="15.28515625" style="130" customWidth="1"/>
    <col min="1040" max="1040" width="12.7109375" style="130" customWidth="1"/>
    <col min="1041" max="1041" width="14" style="130" customWidth="1"/>
    <col min="1042" max="1042" width="12.42578125" style="130" customWidth="1"/>
    <col min="1043" max="1043" width="13" style="130" customWidth="1"/>
    <col min="1044" max="1044" width="13.42578125" style="130" customWidth="1"/>
    <col min="1045" max="1045" width="17.7109375" style="130" customWidth="1"/>
    <col min="1046" max="1046" width="19.140625" style="130" customWidth="1"/>
    <col min="1047" max="1047" width="12.5703125" style="130" bestFit="1" customWidth="1"/>
    <col min="1048" max="1048" width="11.85546875" style="130" customWidth="1"/>
    <col min="1049" max="1049" width="13.140625" style="130" customWidth="1"/>
    <col min="1050" max="1050" width="14.140625" style="130" customWidth="1"/>
    <col min="1051" max="1051" width="14.7109375" style="130" customWidth="1"/>
    <col min="1052" max="1052" width="10.7109375" style="130" customWidth="1"/>
    <col min="1053" max="1053" width="12.42578125" style="130" customWidth="1"/>
    <col min="1054" max="1054" width="13.42578125" style="130" customWidth="1"/>
    <col min="1055" max="1055" width="13" style="130" customWidth="1"/>
    <col min="1056" max="1056" width="11.85546875" style="130" customWidth="1"/>
    <col min="1057" max="1057" width="12" style="130" customWidth="1"/>
    <col min="1058" max="1058" width="9.140625" style="130"/>
    <col min="1059" max="1059" width="12.7109375" style="130" customWidth="1"/>
    <col min="1060" max="1060" width="13.5703125" style="130" customWidth="1"/>
    <col min="1061" max="1061" width="15.28515625" style="130" customWidth="1"/>
    <col min="1062" max="1062" width="17" style="130" customWidth="1"/>
    <col min="1063" max="1063" width="18.140625" style="130" customWidth="1"/>
    <col min="1064" max="1064" width="12.85546875" style="130" customWidth="1"/>
    <col min="1065" max="1065" width="17.5703125" style="130" customWidth="1"/>
    <col min="1066" max="1066" width="15.140625" style="130" customWidth="1"/>
    <col min="1067" max="1067" width="11.28515625" style="130" customWidth="1"/>
    <col min="1068" max="1068" width="11.85546875" style="130" customWidth="1"/>
    <col min="1069" max="1069" width="12" style="130" customWidth="1"/>
    <col min="1070" max="1070" width="9.140625" style="130"/>
    <col min="1071" max="1071" width="51.5703125" style="130" customWidth="1"/>
    <col min="1072" max="1072" width="14.28515625" style="130" customWidth="1"/>
    <col min="1073" max="1073" width="20.42578125" style="130" customWidth="1"/>
    <col min="1074" max="1280" width="9.140625" style="130"/>
    <col min="1281" max="1281" width="66.42578125" style="130" customWidth="1"/>
    <col min="1282" max="1282" width="75.140625" style="130" customWidth="1"/>
    <col min="1283" max="1283" width="14.42578125" style="130" customWidth="1"/>
    <col min="1284" max="1284" width="13.42578125" style="130" customWidth="1"/>
    <col min="1285" max="1285" width="15.5703125" style="130" customWidth="1"/>
    <col min="1286" max="1286" width="17.42578125" style="130" customWidth="1"/>
    <col min="1287" max="1287" width="11.85546875" style="130" customWidth="1"/>
    <col min="1288" max="1288" width="16" style="130" customWidth="1"/>
    <col min="1289" max="1289" width="13.140625" style="130" customWidth="1"/>
    <col min="1290" max="1290" width="12" style="130" customWidth="1"/>
    <col min="1291" max="1291" width="15.140625" style="130" customWidth="1"/>
    <col min="1292" max="1292" width="15.85546875" style="130" customWidth="1"/>
    <col min="1293" max="1293" width="14.85546875" style="130" customWidth="1"/>
    <col min="1294" max="1294" width="13.5703125" style="130" customWidth="1"/>
    <col min="1295" max="1295" width="15.28515625" style="130" customWidth="1"/>
    <col min="1296" max="1296" width="12.7109375" style="130" customWidth="1"/>
    <col min="1297" max="1297" width="14" style="130" customWidth="1"/>
    <col min="1298" max="1298" width="12.42578125" style="130" customWidth="1"/>
    <col min="1299" max="1299" width="13" style="130" customWidth="1"/>
    <col min="1300" max="1300" width="13.42578125" style="130" customWidth="1"/>
    <col min="1301" max="1301" width="17.7109375" style="130" customWidth="1"/>
    <col min="1302" max="1302" width="19.140625" style="130" customWidth="1"/>
    <col min="1303" max="1303" width="12.5703125" style="130" bestFit="1" customWidth="1"/>
    <col min="1304" max="1304" width="11.85546875" style="130" customWidth="1"/>
    <col min="1305" max="1305" width="13.140625" style="130" customWidth="1"/>
    <col min="1306" max="1306" width="14.140625" style="130" customWidth="1"/>
    <col min="1307" max="1307" width="14.7109375" style="130" customWidth="1"/>
    <col min="1308" max="1308" width="10.7109375" style="130" customWidth="1"/>
    <col min="1309" max="1309" width="12.42578125" style="130" customWidth="1"/>
    <col min="1310" max="1310" width="13.42578125" style="130" customWidth="1"/>
    <col min="1311" max="1311" width="13" style="130" customWidth="1"/>
    <col min="1312" max="1312" width="11.85546875" style="130" customWidth="1"/>
    <col min="1313" max="1313" width="12" style="130" customWidth="1"/>
    <col min="1314" max="1314" width="9.140625" style="130"/>
    <col min="1315" max="1315" width="12.7109375" style="130" customWidth="1"/>
    <col min="1316" max="1316" width="13.5703125" style="130" customWidth="1"/>
    <col min="1317" max="1317" width="15.28515625" style="130" customWidth="1"/>
    <col min="1318" max="1318" width="17" style="130" customWidth="1"/>
    <col min="1319" max="1319" width="18.140625" style="130" customWidth="1"/>
    <col min="1320" max="1320" width="12.85546875" style="130" customWidth="1"/>
    <col min="1321" max="1321" width="17.5703125" style="130" customWidth="1"/>
    <col min="1322" max="1322" width="15.140625" style="130" customWidth="1"/>
    <col min="1323" max="1323" width="11.28515625" style="130" customWidth="1"/>
    <col min="1324" max="1324" width="11.85546875" style="130" customWidth="1"/>
    <col min="1325" max="1325" width="12" style="130" customWidth="1"/>
    <col min="1326" max="1326" width="9.140625" style="130"/>
    <col min="1327" max="1327" width="51.5703125" style="130" customWidth="1"/>
    <col min="1328" max="1328" width="14.28515625" style="130" customWidth="1"/>
    <col min="1329" max="1329" width="20.42578125" style="130" customWidth="1"/>
    <col min="1330" max="1536" width="9.140625" style="130"/>
    <col min="1537" max="1537" width="66.42578125" style="130" customWidth="1"/>
    <col min="1538" max="1538" width="75.140625" style="130" customWidth="1"/>
    <col min="1539" max="1539" width="14.42578125" style="130" customWidth="1"/>
    <col min="1540" max="1540" width="13.42578125" style="130" customWidth="1"/>
    <col min="1541" max="1541" width="15.5703125" style="130" customWidth="1"/>
    <col min="1542" max="1542" width="17.42578125" style="130" customWidth="1"/>
    <col min="1543" max="1543" width="11.85546875" style="130" customWidth="1"/>
    <col min="1544" max="1544" width="16" style="130" customWidth="1"/>
    <col min="1545" max="1545" width="13.140625" style="130" customWidth="1"/>
    <col min="1546" max="1546" width="12" style="130" customWidth="1"/>
    <col min="1547" max="1547" width="15.140625" style="130" customWidth="1"/>
    <col min="1548" max="1548" width="15.85546875" style="130" customWidth="1"/>
    <col min="1549" max="1549" width="14.85546875" style="130" customWidth="1"/>
    <col min="1550" max="1550" width="13.5703125" style="130" customWidth="1"/>
    <col min="1551" max="1551" width="15.28515625" style="130" customWidth="1"/>
    <col min="1552" max="1552" width="12.7109375" style="130" customWidth="1"/>
    <col min="1553" max="1553" width="14" style="130" customWidth="1"/>
    <col min="1554" max="1554" width="12.42578125" style="130" customWidth="1"/>
    <col min="1555" max="1555" width="13" style="130" customWidth="1"/>
    <col min="1556" max="1556" width="13.42578125" style="130" customWidth="1"/>
    <col min="1557" max="1557" width="17.7109375" style="130" customWidth="1"/>
    <col min="1558" max="1558" width="19.140625" style="130" customWidth="1"/>
    <col min="1559" max="1559" width="12.5703125" style="130" bestFit="1" customWidth="1"/>
    <col min="1560" max="1560" width="11.85546875" style="130" customWidth="1"/>
    <col min="1561" max="1561" width="13.140625" style="130" customWidth="1"/>
    <col min="1562" max="1562" width="14.140625" style="130" customWidth="1"/>
    <col min="1563" max="1563" width="14.7109375" style="130" customWidth="1"/>
    <col min="1564" max="1564" width="10.7109375" style="130" customWidth="1"/>
    <col min="1565" max="1565" width="12.42578125" style="130" customWidth="1"/>
    <col min="1566" max="1566" width="13.42578125" style="130" customWidth="1"/>
    <col min="1567" max="1567" width="13" style="130" customWidth="1"/>
    <col min="1568" max="1568" width="11.85546875" style="130" customWidth="1"/>
    <col min="1569" max="1569" width="12" style="130" customWidth="1"/>
    <col min="1570" max="1570" width="9.140625" style="130"/>
    <col min="1571" max="1571" width="12.7109375" style="130" customWidth="1"/>
    <col min="1572" max="1572" width="13.5703125" style="130" customWidth="1"/>
    <col min="1573" max="1573" width="15.28515625" style="130" customWidth="1"/>
    <col min="1574" max="1574" width="17" style="130" customWidth="1"/>
    <col min="1575" max="1575" width="18.140625" style="130" customWidth="1"/>
    <col min="1576" max="1576" width="12.85546875" style="130" customWidth="1"/>
    <col min="1577" max="1577" width="17.5703125" style="130" customWidth="1"/>
    <col min="1578" max="1578" width="15.140625" style="130" customWidth="1"/>
    <col min="1579" max="1579" width="11.28515625" style="130" customWidth="1"/>
    <col min="1580" max="1580" width="11.85546875" style="130" customWidth="1"/>
    <col min="1581" max="1581" width="12" style="130" customWidth="1"/>
    <col min="1582" max="1582" width="9.140625" style="130"/>
    <col min="1583" max="1583" width="51.5703125" style="130" customWidth="1"/>
    <col min="1584" max="1584" width="14.28515625" style="130" customWidth="1"/>
    <col min="1585" max="1585" width="20.42578125" style="130" customWidth="1"/>
    <col min="1586" max="1792" width="9.140625" style="130"/>
    <col min="1793" max="1793" width="66.42578125" style="130" customWidth="1"/>
    <col min="1794" max="1794" width="75.140625" style="130" customWidth="1"/>
    <col min="1795" max="1795" width="14.42578125" style="130" customWidth="1"/>
    <col min="1796" max="1796" width="13.42578125" style="130" customWidth="1"/>
    <col min="1797" max="1797" width="15.5703125" style="130" customWidth="1"/>
    <col min="1798" max="1798" width="17.42578125" style="130" customWidth="1"/>
    <col min="1799" max="1799" width="11.85546875" style="130" customWidth="1"/>
    <col min="1800" max="1800" width="16" style="130" customWidth="1"/>
    <col min="1801" max="1801" width="13.140625" style="130" customWidth="1"/>
    <col min="1802" max="1802" width="12" style="130" customWidth="1"/>
    <col min="1803" max="1803" width="15.140625" style="130" customWidth="1"/>
    <col min="1804" max="1804" width="15.85546875" style="130" customWidth="1"/>
    <col min="1805" max="1805" width="14.85546875" style="130" customWidth="1"/>
    <col min="1806" max="1806" width="13.5703125" style="130" customWidth="1"/>
    <col min="1807" max="1807" width="15.28515625" style="130" customWidth="1"/>
    <col min="1808" max="1808" width="12.7109375" style="130" customWidth="1"/>
    <col min="1809" max="1809" width="14" style="130" customWidth="1"/>
    <col min="1810" max="1810" width="12.42578125" style="130" customWidth="1"/>
    <col min="1811" max="1811" width="13" style="130" customWidth="1"/>
    <col min="1812" max="1812" width="13.42578125" style="130" customWidth="1"/>
    <col min="1813" max="1813" width="17.7109375" style="130" customWidth="1"/>
    <col min="1814" max="1814" width="19.140625" style="130" customWidth="1"/>
    <col min="1815" max="1815" width="12.5703125" style="130" bestFit="1" customWidth="1"/>
    <col min="1816" max="1816" width="11.85546875" style="130" customWidth="1"/>
    <col min="1817" max="1817" width="13.140625" style="130" customWidth="1"/>
    <col min="1818" max="1818" width="14.140625" style="130" customWidth="1"/>
    <col min="1819" max="1819" width="14.7109375" style="130" customWidth="1"/>
    <col min="1820" max="1820" width="10.7109375" style="130" customWidth="1"/>
    <col min="1821" max="1821" width="12.42578125" style="130" customWidth="1"/>
    <col min="1822" max="1822" width="13.42578125" style="130" customWidth="1"/>
    <col min="1823" max="1823" width="13" style="130" customWidth="1"/>
    <col min="1824" max="1824" width="11.85546875" style="130" customWidth="1"/>
    <col min="1825" max="1825" width="12" style="130" customWidth="1"/>
    <col min="1826" max="1826" width="9.140625" style="130"/>
    <col min="1827" max="1827" width="12.7109375" style="130" customWidth="1"/>
    <col min="1828" max="1828" width="13.5703125" style="130" customWidth="1"/>
    <col min="1829" max="1829" width="15.28515625" style="130" customWidth="1"/>
    <col min="1830" max="1830" width="17" style="130" customWidth="1"/>
    <col min="1831" max="1831" width="18.140625" style="130" customWidth="1"/>
    <col min="1832" max="1832" width="12.85546875" style="130" customWidth="1"/>
    <col min="1833" max="1833" width="17.5703125" style="130" customWidth="1"/>
    <col min="1834" max="1834" width="15.140625" style="130" customWidth="1"/>
    <col min="1835" max="1835" width="11.28515625" style="130" customWidth="1"/>
    <col min="1836" max="1836" width="11.85546875" style="130" customWidth="1"/>
    <col min="1837" max="1837" width="12" style="130" customWidth="1"/>
    <col min="1838" max="1838" width="9.140625" style="130"/>
    <col min="1839" max="1839" width="51.5703125" style="130" customWidth="1"/>
    <col min="1840" max="1840" width="14.28515625" style="130" customWidth="1"/>
    <col min="1841" max="1841" width="20.42578125" style="130" customWidth="1"/>
    <col min="1842" max="2048" width="9.140625" style="130"/>
    <col min="2049" max="2049" width="66.42578125" style="130" customWidth="1"/>
    <col min="2050" max="2050" width="75.140625" style="130" customWidth="1"/>
    <col min="2051" max="2051" width="14.42578125" style="130" customWidth="1"/>
    <col min="2052" max="2052" width="13.42578125" style="130" customWidth="1"/>
    <col min="2053" max="2053" width="15.5703125" style="130" customWidth="1"/>
    <col min="2054" max="2054" width="17.42578125" style="130" customWidth="1"/>
    <col min="2055" max="2055" width="11.85546875" style="130" customWidth="1"/>
    <col min="2056" max="2056" width="16" style="130" customWidth="1"/>
    <col min="2057" max="2057" width="13.140625" style="130" customWidth="1"/>
    <col min="2058" max="2058" width="12" style="130" customWidth="1"/>
    <col min="2059" max="2059" width="15.140625" style="130" customWidth="1"/>
    <col min="2060" max="2060" width="15.85546875" style="130" customWidth="1"/>
    <col min="2061" max="2061" width="14.85546875" style="130" customWidth="1"/>
    <col min="2062" max="2062" width="13.5703125" style="130" customWidth="1"/>
    <col min="2063" max="2063" width="15.28515625" style="130" customWidth="1"/>
    <col min="2064" max="2064" width="12.7109375" style="130" customWidth="1"/>
    <col min="2065" max="2065" width="14" style="130" customWidth="1"/>
    <col min="2066" max="2066" width="12.42578125" style="130" customWidth="1"/>
    <col min="2067" max="2067" width="13" style="130" customWidth="1"/>
    <col min="2068" max="2068" width="13.42578125" style="130" customWidth="1"/>
    <col min="2069" max="2069" width="17.7109375" style="130" customWidth="1"/>
    <col min="2070" max="2070" width="19.140625" style="130" customWidth="1"/>
    <col min="2071" max="2071" width="12.5703125" style="130" bestFit="1" customWidth="1"/>
    <col min="2072" max="2072" width="11.85546875" style="130" customWidth="1"/>
    <col min="2073" max="2073" width="13.140625" style="130" customWidth="1"/>
    <col min="2074" max="2074" width="14.140625" style="130" customWidth="1"/>
    <col min="2075" max="2075" width="14.7109375" style="130" customWidth="1"/>
    <col min="2076" max="2076" width="10.7109375" style="130" customWidth="1"/>
    <col min="2077" max="2077" width="12.42578125" style="130" customWidth="1"/>
    <col min="2078" max="2078" width="13.42578125" style="130" customWidth="1"/>
    <col min="2079" max="2079" width="13" style="130" customWidth="1"/>
    <col min="2080" max="2080" width="11.85546875" style="130" customWidth="1"/>
    <col min="2081" max="2081" width="12" style="130" customWidth="1"/>
    <col min="2082" max="2082" width="9.140625" style="130"/>
    <col min="2083" max="2083" width="12.7109375" style="130" customWidth="1"/>
    <col min="2084" max="2084" width="13.5703125" style="130" customWidth="1"/>
    <col min="2085" max="2085" width="15.28515625" style="130" customWidth="1"/>
    <col min="2086" max="2086" width="17" style="130" customWidth="1"/>
    <col min="2087" max="2087" width="18.140625" style="130" customWidth="1"/>
    <col min="2088" max="2088" width="12.85546875" style="130" customWidth="1"/>
    <col min="2089" max="2089" width="17.5703125" style="130" customWidth="1"/>
    <col min="2090" max="2090" width="15.140625" style="130" customWidth="1"/>
    <col min="2091" max="2091" width="11.28515625" style="130" customWidth="1"/>
    <col min="2092" max="2092" width="11.85546875" style="130" customWidth="1"/>
    <col min="2093" max="2093" width="12" style="130" customWidth="1"/>
    <col min="2094" max="2094" width="9.140625" style="130"/>
    <col min="2095" max="2095" width="51.5703125" style="130" customWidth="1"/>
    <col min="2096" max="2096" width="14.28515625" style="130" customWidth="1"/>
    <col min="2097" max="2097" width="20.42578125" style="130" customWidth="1"/>
    <col min="2098" max="2304" width="9.140625" style="130"/>
    <col min="2305" max="2305" width="66.42578125" style="130" customWidth="1"/>
    <col min="2306" max="2306" width="75.140625" style="130" customWidth="1"/>
    <col min="2307" max="2307" width="14.42578125" style="130" customWidth="1"/>
    <col min="2308" max="2308" width="13.42578125" style="130" customWidth="1"/>
    <col min="2309" max="2309" width="15.5703125" style="130" customWidth="1"/>
    <col min="2310" max="2310" width="17.42578125" style="130" customWidth="1"/>
    <col min="2311" max="2311" width="11.85546875" style="130" customWidth="1"/>
    <col min="2312" max="2312" width="16" style="130" customWidth="1"/>
    <col min="2313" max="2313" width="13.140625" style="130" customWidth="1"/>
    <col min="2314" max="2314" width="12" style="130" customWidth="1"/>
    <col min="2315" max="2315" width="15.140625" style="130" customWidth="1"/>
    <col min="2316" max="2316" width="15.85546875" style="130" customWidth="1"/>
    <col min="2317" max="2317" width="14.85546875" style="130" customWidth="1"/>
    <col min="2318" max="2318" width="13.5703125" style="130" customWidth="1"/>
    <col min="2319" max="2319" width="15.28515625" style="130" customWidth="1"/>
    <col min="2320" max="2320" width="12.7109375" style="130" customWidth="1"/>
    <col min="2321" max="2321" width="14" style="130" customWidth="1"/>
    <col min="2322" max="2322" width="12.42578125" style="130" customWidth="1"/>
    <col min="2323" max="2323" width="13" style="130" customWidth="1"/>
    <col min="2324" max="2324" width="13.42578125" style="130" customWidth="1"/>
    <col min="2325" max="2325" width="17.7109375" style="130" customWidth="1"/>
    <col min="2326" max="2326" width="19.140625" style="130" customWidth="1"/>
    <col min="2327" max="2327" width="12.5703125" style="130" bestFit="1" customWidth="1"/>
    <col min="2328" max="2328" width="11.85546875" style="130" customWidth="1"/>
    <col min="2329" max="2329" width="13.140625" style="130" customWidth="1"/>
    <col min="2330" max="2330" width="14.140625" style="130" customWidth="1"/>
    <col min="2331" max="2331" width="14.7109375" style="130" customWidth="1"/>
    <col min="2332" max="2332" width="10.7109375" style="130" customWidth="1"/>
    <col min="2333" max="2333" width="12.42578125" style="130" customWidth="1"/>
    <col min="2334" max="2334" width="13.42578125" style="130" customWidth="1"/>
    <col min="2335" max="2335" width="13" style="130" customWidth="1"/>
    <col min="2336" max="2336" width="11.85546875" style="130" customWidth="1"/>
    <col min="2337" max="2337" width="12" style="130" customWidth="1"/>
    <col min="2338" max="2338" width="9.140625" style="130"/>
    <col min="2339" max="2339" width="12.7109375" style="130" customWidth="1"/>
    <col min="2340" max="2340" width="13.5703125" style="130" customWidth="1"/>
    <col min="2341" max="2341" width="15.28515625" style="130" customWidth="1"/>
    <col min="2342" max="2342" width="17" style="130" customWidth="1"/>
    <col min="2343" max="2343" width="18.140625" style="130" customWidth="1"/>
    <col min="2344" max="2344" width="12.85546875" style="130" customWidth="1"/>
    <col min="2345" max="2345" width="17.5703125" style="130" customWidth="1"/>
    <col min="2346" max="2346" width="15.140625" style="130" customWidth="1"/>
    <col min="2347" max="2347" width="11.28515625" style="130" customWidth="1"/>
    <col min="2348" max="2348" width="11.85546875" style="130" customWidth="1"/>
    <col min="2349" max="2349" width="12" style="130" customWidth="1"/>
    <col min="2350" max="2350" width="9.140625" style="130"/>
    <col min="2351" max="2351" width="51.5703125" style="130" customWidth="1"/>
    <col min="2352" max="2352" width="14.28515625" style="130" customWidth="1"/>
    <col min="2353" max="2353" width="20.42578125" style="130" customWidth="1"/>
    <col min="2354" max="2560" width="9.140625" style="130"/>
    <col min="2561" max="2561" width="66.42578125" style="130" customWidth="1"/>
    <col min="2562" max="2562" width="75.140625" style="130" customWidth="1"/>
    <col min="2563" max="2563" width="14.42578125" style="130" customWidth="1"/>
    <col min="2564" max="2564" width="13.42578125" style="130" customWidth="1"/>
    <col min="2565" max="2565" width="15.5703125" style="130" customWidth="1"/>
    <col min="2566" max="2566" width="17.42578125" style="130" customWidth="1"/>
    <col min="2567" max="2567" width="11.85546875" style="130" customWidth="1"/>
    <col min="2568" max="2568" width="16" style="130" customWidth="1"/>
    <col min="2569" max="2569" width="13.140625" style="130" customWidth="1"/>
    <col min="2570" max="2570" width="12" style="130" customWidth="1"/>
    <col min="2571" max="2571" width="15.140625" style="130" customWidth="1"/>
    <col min="2572" max="2572" width="15.85546875" style="130" customWidth="1"/>
    <col min="2573" max="2573" width="14.85546875" style="130" customWidth="1"/>
    <col min="2574" max="2574" width="13.5703125" style="130" customWidth="1"/>
    <col min="2575" max="2575" width="15.28515625" style="130" customWidth="1"/>
    <col min="2576" max="2576" width="12.7109375" style="130" customWidth="1"/>
    <col min="2577" max="2577" width="14" style="130" customWidth="1"/>
    <col min="2578" max="2578" width="12.42578125" style="130" customWidth="1"/>
    <col min="2579" max="2579" width="13" style="130" customWidth="1"/>
    <col min="2580" max="2580" width="13.42578125" style="130" customWidth="1"/>
    <col min="2581" max="2581" width="17.7109375" style="130" customWidth="1"/>
    <col min="2582" max="2582" width="19.140625" style="130" customWidth="1"/>
    <col min="2583" max="2583" width="12.5703125" style="130" bestFit="1" customWidth="1"/>
    <col min="2584" max="2584" width="11.85546875" style="130" customWidth="1"/>
    <col min="2585" max="2585" width="13.140625" style="130" customWidth="1"/>
    <col min="2586" max="2586" width="14.140625" style="130" customWidth="1"/>
    <col min="2587" max="2587" width="14.7109375" style="130" customWidth="1"/>
    <col min="2588" max="2588" width="10.7109375" style="130" customWidth="1"/>
    <col min="2589" max="2589" width="12.42578125" style="130" customWidth="1"/>
    <col min="2590" max="2590" width="13.42578125" style="130" customWidth="1"/>
    <col min="2591" max="2591" width="13" style="130" customWidth="1"/>
    <col min="2592" max="2592" width="11.85546875" style="130" customWidth="1"/>
    <col min="2593" max="2593" width="12" style="130" customWidth="1"/>
    <col min="2594" max="2594" width="9.140625" style="130"/>
    <col min="2595" max="2595" width="12.7109375" style="130" customWidth="1"/>
    <col min="2596" max="2596" width="13.5703125" style="130" customWidth="1"/>
    <col min="2597" max="2597" width="15.28515625" style="130" customWidth="1"/>
    <col min="2598" max="2598" width="17" style="130" customWidth="1"/>
    <col min="2599" max="2599" width="18.140625" style="130" customWidth="1"/>
    <col min="2600" max="2600" width="12.85546875" style="130" customWidth="1"/>
    <col min="2601" max="2601" width="17.5703125" style="130" customWidth="1"/>
    <col min="2602" max="2602" width="15.140625" style="130" customWidth="1"/>
    <col min="2603" max="2603" width="11.28515625" style="130" customWidth="1"/>
    <col min="2604" max="2604" width="11.85546875" style="130" customWidth="1"/>
    <col min="2605" max="2605" width="12" style="130" customWidth="1"/>
    <col min="2606" max="2606" width="9.140625" style="130"/>
    <col min="2607" max="2607" width="51.5703125" style="130" customWidth="1"/>
    <col min="2608" max="2608" width="14.28515625" style="130" customWidth="1"/>
    <col min="2609" max="2609" width="20.42578125" style="130" customWidth="1"/>
    <col min="2610" max="2816" width="9.140625" style="130"/>
    <col min="2817" max="2817" width="66.42578125" style="130" customWidth="1"/>
    <col min="2818" max="2818" width="75.140625" style="130" customWidth="1"/>
    <col min="2819" max="2819" width="14.42578125" style="130" customWidth="1"/>
    <col min="2820" max="2820" width="13.42578125" style="130" customWidth="1"/>
    <col min="2821" max="2821" width="15.5703125" style="130" customWidth="1"/>
    <col min="2822" max="2822" width="17.42578125" style="130" customWidth="1"/>
    <col min="2823" max="2823" width="11.85546875" style="130" customWidth="1"/>
    <col min="2824" max="2824" width="16" style="130" customWidth="1"/>
    <col min="2825" max="2825" width="13.140625" style="130" customWidth="1"/>
    <col min="2826" max="2826" width="12" style="130" customWidth="1"/>
    <col min="2827" max="2827" width="15.140625" style="130" customWidth="1"/>
    <col min="2828" max="2828" width="15.85546875" style="130" customWidth="1"/>
    <col min="2829" max="2829" width="14.85546875" style="130" customWidth="1"/>
    <col min="2830" max="2830" width="13.5703125" style="130" customWidth="1"/>
    <col min="2831" max="2831" width="15.28515625" style="130" customWidth="1"/>
    <col min="2832" max="2832" width="12.7109375" style="130" customWidth="1"/>
    <col min="2833" max="2833" width="14" style="130" customWidth="1"/>
    <col min="2834" max="2834" width="12.42578125" style="130" customWidth="1"/>
    <col min="2835" max="2835" width="13" style="130" customWidth="1"/>
    <col min="2836" max="2836" width="13.42578125" style="130" customWidth="1"/>
    <col min="2837" max="2837" width="17.7109375" style="130" customWidth="1"/>
    <col min="2838" max="2838" width="19.140625" style="130" customWidth="1"/>
    <col min="2839" max="2839" width="12.5703125" style="130" bestFit="1" customWidth="1"/>
    <col min="2840" max="2840" width="11.85546875" style="130" customWidth="1"/>
    <col min="2841" max="2841" width="13.140625" style="130" customWidth="1"/>
    <col min="2842" max="2842" width="14.140625" style="130" customWidth="1"/>
    <col min="2843" max="2843" width="14.7109375" style="130" customWidth="1"/>
    <col min="2844" max="2844" width="10.7109375" style="130" customWidth="1"/>
    <col min="2845" max="2845" width="12.42578125" style="130" customWidth="1"/>
    <col min="2846" max="2846" width="13.42578125" style="130" customWidth="1"/>
    <col min="2847" max="2847" width="13" style="130" customWidth="1"/>
    <col min="2848" max="2848" width="11.85546875" style="130" customWidth="1"/>
    <col min="2849" max="2849" width="12" style="130" customWidth="1"/>
    <col min="2850" max="2850" width="9.140625" style="130"/>
    <col min="2851" max="2851" width="12.7109375" style="130" customWidth="1"/>
    <col min="2852" max="2852" width="13.5703125" style="130" customWidth="1"/>
    <col min="2853" max="2853" width="15.28515625" style="130" customWidth="1"/>
    <col min="2854" max="2854" width="17" style="130" customWidth="1"/>
    <col min="2855" max="2855" width="18.140625" style="130" customWidth="1"/>
    <col min="2856" max="2856" width="12.85546875" style="130" customWidth="1"/>
    <col min="2857" max="2857" width="17.5703125" style="130" customWidth="1"/>
    <col min="2858" max="2858" width="15.140625" style="130" customWidth="1"/>
    <col min="2859" max="2859" width="11.28515625" style="130" customWidth="1"/>
    <col min="2860" max="2860" width="11.85546875" style="130" customWidth="1"/>
    <col min="2861" max="2861" width="12" style="130" customWidth="1"/>
    <col min="2862" max="2862" width="9.140625" style="130"/>
    <col min="2863" max="2863" width="51.5703125" style="130" customWidth="1"/>
    <col min="2864" max="2864" width="14.28515625" style="130" customWidth="1"/>
    <col min="2865" max="2865" width="20.42578125" style="130" customWidth="1"/>
    <col min="2866" max="3072" width="9.140625" style="130"/>
    <col min="3073" max="3073" width="66.42578125" style="130" customWidth="1"/>
    <col min="3074" max="3074" width="75.140625" style="130" customWidth="1"/>
    <col min="3075" max="3075" width="14.42578125" style="130" customWidth="1"/>
    <col min="3076" max="3076" width="13.42578125" style="130" customWidth="1"/>
    <col min="3077" max="3077" width="15.5703125" style="130" customWidth="1"/>
    <col min="3078" max="3078" width="17.42578125" style="130" customWidth="1"/>
    <col min="3079" max="3079" width="11.85546875" style="130" customWidth="1"/>
    <col min="3080" max="3080" width="16" style="130" customWidth="1"/>
    <col min="3081" max="3081" width="13.140625" style="130" customWidth="1"/>
    <col min="3082" max="3082" width="12" style="130" customWidth="1"/>
    <col min="3083" max="3083" width="15.140625" style="130" customWidth="1"/>
    <col min="3084" max="3084" width="15.85546875" style="130" customWidth="1"/>
    <col min="3085" max="3085" width="14.85546875" style="130" customWidth="1"/>
    <col min="3086" max="3086" width="13.5703125" style="130" customWidth="1"/>
    <col min="3087" max="3087" width="15.28515625" style="130" customWidth="1"/>
    <col min="3088" max="3088" width="12.7109375" style="130" customWidth="1"/>
    <col min="3089" max="3089" width="14" style="130" customWidth="1"/>
    <col min="3090" max="3090" width="12.42578125" style="130" customWidth="1"/>
    <col min="3091" max="3091" width="13" style="130" customWidth="1"/>
    <col min="3092" max="3092" width="13.42578125" style="130" customWidth="1"/>
    <col min="3093" max="3093" width="17.7109375" style="130" customWidth="1"/>
    <col min="3094" max="3094" width="19.140625" style="130" customWidth="1"/>
    <col min="3095" max="3095" width="12.5703125" style="130" bestFit="1" customWidth="1"/>
    <col min="3096" max="3096" width="11.85546875" style="130" customWidth="1"/>
    <col min="3097" max="3097" width="13.140625" style="130" customWidth="1"/>
    <col min="3098" max="3098" width="14.140625" style="130" customWidth="1"/>
    <col min="3099" max="3099" width="14.7109375" style="130" customWidth="1"/>
    <col min="3100" max="3100" width="10.7109375" style="130" customWidth="1"/>
    <col min="3101" max="3101" width="12.42578125" style="130" customWidth="1"/>
    <col min="3102" max="3102" width="13.42578125" style="130" customWidth="1"/>
    <col min="3103" max="3103" width="13" style="130" customWidth="1"/>
    <col min="3104" max="3104" width="11.85546875" style="130" customWidth="1"/>
    <col min="3105" max="3105" width="12" style="130" customWidth="1"/>
    <col min="3106" max="3106" width="9.140625" style="130"/>
    <col min="3107" max="3107" width="12.7109375" style="130" customWidth="1"/>
    <col min="3108" max="3108" width="13.5703125" style="130" customWidth="1"/>
    <col min="3109" max="3109" width="15.28515625" style="130" customWidth="1"/>
    <col min="3110" max="3110" width="17" style="130" customWidth="1"/>
    <col min="3111" max="3111" width="18.140625" style="130" customWidth="1"/>
    <col min="3112" max="3112" width="12.85546875" style="130" customWidth="1"/>
    <col min="3113" max="3113" width="17.5703125" style="130" customWidth="1"/>
    <col min="3114" max="3114" width="15.140625" style="130" customWidth="1"/>
    <col min="3115" max="3115" width="11.28515625" style="130" customWidth="1"/>
    <col min="3116" max="3116" width="11.85546875" style="130" customWidth="1"/>
    <col min="3117" max="3117" width="12" style="130" customWidth="1"/>
    <col min="3118" max="3118" width="9.140625" style="130"/>
    <col min="3119" max="3119" width="51.5703125" style="130" customWidth="1"/>
    <col min="3120" max="3120" width="14.28515625" style="130" customWidth="1"/>
    <col min="3121" max="3121" width="20.42578125" style="130" customWidth="1"/>
    <col min="3122" max="3328" width="9.140625" style="130"/>
    <col min="3329" max="3329" width="66.42578125" style="130" customWidth="1"/>
    <col min="3330" max="3330" width="75.140625" style="130" customWidth="1"/>
    <col min="3331" max="3331" width="14.42578125" style="130" customWidth="1"/>
    <col min="3332" max="3332" width="13.42578125" style="130" customWidth="1"/>
    <col min="3333" max="3333" width="15.5703125" style="130" customWidth="1"/>
    <col min="3334" max="3334" width="17.42578125" style="130" customWidth="1"/>
    <col min="3335" max="3335" width="11.85546875" style="130" customWidth="1"/>
    <col min="3336" max="3336" width="16" style="130" customWidth="1"/>
    <col min="3337" max="3337" width="13.140625" style="130" customWidth="1"/>
    <col min="3338" max="3338" width="12" style="130" customWidth="1"/>
    <col min="3339" max="3339" width="15.140625" style="130" customWidth="1"/>
    <col min="3340" max="3340" width="15.85546875" style="130" customWidth="1"/>
    <col min="3341" max="3341" width="14.85546875" style="130" customWidth="1"/>
    <col min="3342" max="3342" width="13.5703125" style="130" customWidth="1"/>
    <col min="3343" max="3343" width="15.28515625" style="130" customWidth="1"/>
    <col min="3344" max="3344" width="12.7109375" style="130" customWidth="1"/>
    <col min="3345" max="3345" width="14" style="130" customWidth="1"/>
    <col min="3346" max="3346" width="12.42578125" style="130" customWidth="1"/>
    <col min="3347" max="3347" width="13" style="130" customWidth="1"/>
    <col min="3348" max="3348" width="13.42578125" style="130" customWidth="1"/>
    <col min="3349" max="3349" width="17.7109375" style="130" customWidth="1"/>
    <col min="3350" max="3350" width="19.140625" style="130" customWidth="1"/>
    <col min="3351" max="3351" width="12.5703125" style="130" bestFit="1" customWidth="1"/>
    <col min="3352" max="3352" width="11.85546875" style="130" customWidth="1"/>
    <col min="3353" max="3353" width="13.140625" style="130" customWidth="1"/>
    <col min="3354" max="3354" width="14.140625" style="130" customWidth="1"/>
    <col min="3355" max="3355" width="14.7109375" style="130" customWidth="1"/>
    <col min="3356" max="3356" width="10.7109375" style="130" customWidth="1"/>
    <col min="3357" max="3357" width="12.42578125" style="130" customWidth="1"/>
    <col min="3358" max="3358" width="13.42578125" style="130" customWidth="1"/>
    <col min="3359" max="3359" width="13" style="130" customWidth="1"/>
    <col min="3360" max="3360" width="11.85546875" style="130" customWidth="1"/>
    <col min="3361" max="3361" width="12" style="130" customWidth="1"/>
    <col min="3362" max="3362" width="9.140625" style="130"/>
    <col min="3363" max="3363" width="12.7109375" style="130" customWidth="1"/>
    <col min="3364" max="3364" width="13.5703125" style="130" customWidth="1"/>
    <col min="3365" max="3365" width="15.28515625" style="130" customWidth="1"/>
    <col min="3366" max="3366" width="17" style="130" customWidth="1"/>
    <col min="3367" max="3367" width="18.140625" style="130" customWidth="1"/>
    <col min="3368" max="3368" width="12.85546875" style="130" customWidth="1"/>
    <col min="3369" max="3369" width="17.5703125" style="130" customWidth="1"/>
    <col min="3370" max="3370" width="15.140625" style="130" customWidth="1"/>
    <col min="3371" max="3371" width="11.28515625" style="130" customWidth="1"/>
    <col min="3372" max="3372" width="11.85546875" style="130" customWidth="1"/>
    <col min="3373" max="3373" width="12" style="130" customWidth="1"/>
    <col min="3374" max="3374" width="9.140625" style="130"/>
    <col min="3375" max="3375" width="51.5703125" style="130" customWidth="1"/>
    <col min="3376" max="3376" width="14.28515625" style="130" customWidth="1"/>
    <col min="3377" max="3377" width="20.42578125" style="130" customWidth="1"/>
    <col min="3378" max="3584" width="9.140625" style="130"/>
    <col min="3585" max="3585" width="66.42578125" style="130" customWidth="1"/>
    <col min="3586" max="3586" width="75.140625" style="130" customWidth="1"/>
    <col min="3587" max="3587" width="14.42578125" style="130" customWidth="1"/>
    <col min="3588" max="3588" width="13.42578125" style="130" customWidth="1"/>
    <col min="3589" max="3589" width="15.5703125" style="130" customWidth="1"/>
    <col min="3590" max="3590" width="17.42578125" style="130" customWidth="1"/>
    <col min="3591" max="3591" width="11.85546875" style="130" customWidth="1"/>
    <col min="3592" max="3592" width="16" style="130" customWidth="1"/>
    <col min="3593" max="3593" width="13.140625" style="130" customWidth="1"/>
    <col min="3594" max="3594" width="12" style="130" customWidth="1"/>
    <col min="3595" max="3595" width="15.140625" style="130" customWidth="1"/>
    <col min="3596" max="3596" width="15.85546875" style="130" customWidth="1"/>
    <col min="3597" max="3597" width="14.85546875" style="130" customWidth="1"/>
    <col min="3598" max="3598" width="13.5703125" style="130" customWidth="1"/>
    <col min="3599" max="3599" width="15.28515625" style="130" customWidth="1"/>
    <col min="3600" max="3600" width="12.7109375" style="130" customWidth="1"/>
    <col min="3601" max="3601" width="14" style="130" customWidth="1"/>
    <col min="3602" max="3602" width="12.42578125" style="130" customWidth="1"/>
    <col min="3603" max="3603" width="13" style="130" customWidth="1"/>
    <col min="3604" max="3604" width="13.42578125" style="130" customWidth="1"/>
    <col min="3605" max="3605" width="17.7109375" style="130" customWidth="1"/>
    <col min="3606" max="3606" width="19.140625" style="130" customWidth="1"/>
    <col min="3607" max="3607" width="12.5703125" style="130" bestFit="1" customWidth="1"/>
    <col min="3608" max="3608" width="11.85546875" style="130" customWidth="1"/>
    <col min="3609" max="3609" width="13.140625" style="130" customWidth="1"/>
    <col min="3610" max="3610" width="14.140625" style="130" customWidth="1"/>
    <col min="3611" max="3611" width="14.7109375" style="130" customWidth="1"/>
    <col min="3612" max="3612" width="10.7109375" style="130" customWidth="1"/>
    <col min="3613" max="3613" width="12.42578125" style="130" customWidth="1"/>
    <col min="3614" max="3614" width="13.42578125" style="130" customWidth="1"/>
    <col min="3615" max="3615" width="13" style="130" customWidth="1"/>
    <col min="3616" max="3616" width="11.85546875" style="130" customWidth="1"/>
    <col min="3617" max="3617" width="12" style="130" customWidth="1"/>
    <col min="3618" max="3618" width="9.140625" style="130"/>
    <col min="3619" max="3619" width="12.7109375" style="130" customWidth="1"/>
    <col min="3620" max="3620" width="13.5703125" style="130" customWidth="1"/>
    <col min="3621" max="3621" width="15.28515625" style="130" customWidth="1"/>
    <col min="3622" max="3622" width="17" style="130" customWidth="1"/>
    <col min="3623" max="3623" width="18.140625" style="130" customWidth="1"/>
    <col min="3624" max="3624" width="12.85546875" style="130" customWidth="1"/>
    <col min="3625" max="3625" width="17.5703125" style="130" customWidth="1"/>
    <col min="3626" max="3626" width="15.140625" style="130" customWidth="1"/>
    <col min="3627" max="3627" width="11.28515625" style="130" customWidth="1"/>
    <col min="3628" max="3628" width="11.85546875" style="130" customWidth="1"/>
    <col min="3629" max="3629" width="12" style="130" customWidth="1"/>
    <col min="3630" max="3630" width="9.140625" style="130"/>
    <col min="3631" max="3631" width="51.5703125" style="130" customWidth="1"/>
    <col min="3632" max="3632" width="14.28515625" style="130" customWidth="1"/>
    <col min="3633" max="3633" width="20.42578125" style="130" customWidth="1"/>
    <col min="3634" max="3840" width="9.140625" style="130"/>
    <col min="3841" max="3841" width="66.42578125" style="130" customWidth="1"/>
    <col min="3842" max="3842" width="75.140625" style="130" customWidth="1"/>
    <col min="3843" max="3843" width="14.42578125" style="130" customWidth="1"/>
    <col min="3844" max="3844" width="13.42578125" style="130" customWidth="1"/>
    <col min="3845" max="3845" width="15.5703125" style="130" customWidth="1"/>
    <col min="3846" max="3846" width="17.42578125" style="130" customWidth="1"/>
    <col min="3847" max="3847" width="11.85546875" style="130" customWidth="1"/>
    <col min="3848" max="3848" width="16" style="130" customWidth="1"/>
    <col min="3849" max="3849" width="13.140625" style="130" customWidth="1"/>
    <col min="3850" max="3850" width="12" style="130" customWidth="1"/>
    <col min="3851" max="3851" width="15.140625" style="130" customWidth="1"/>
    <col min="3852" max="3852" width="15.85546875" style="130" customWidth="1"/>
    <col min="3853" max="3853" width="14.85546875" style="130" customWidth="1"/>
    <col min="3854" max="3854" width="13.5703125" style="130" customWidth="1"/>
    <col min="3855" max="3855" width="15.28515625" style="130" customWidth="1"/>
    <col min="3856" max="3856" width="12.7109375" style="130" customWidth="1"/>
    <col min="3857" max="3857" width="14" style="130" customWidth="1"/>
    <col min="3858" max="3858" width="12.42578125" style="130" customWidth="1"/>
    <col min="3859" max="3859" width="13" style="130" customWidth="1"/>
    <col min="3860" max="3860" width="13.42578125" style="130" customWidth="1"/>
    <col min="3861" max="3861" width="17.7109375" style="130" customWidth="1"/>
    <col min="3862" max="3862" width="19.140625" style="130" customWidth="1"/>
    <col min="3863" max="3863" width="12.5703125" style="130" bestFit="1" customWidth="1"/>
    <col min="3864" max="3864" width="11.85546875" style="130" customWidth="1"/>
    <col min="3865" max="3865" width="13.140625" style="130" customWidth="1"/>
    <col min="3866" max="3866" width="14.140625" style="130" customWidth="1"/>
    <col min="3867" max="3867" width="14.7109375" style="130" customWidth="1"/>
    <col min="3868" max="3868" width="10.7109375" style="130" customWidth="1"/>
    <col min="3869" max="3869" width="12.42578125" style="130" customWidth="1"/>
    <col min="3870" max="3870" width="13.42578125" style="130" customWidth="1"/>
    <col min="3871" max="3871" width="13" style="130" customWidth="1"/>
    <col min="3872" max="3872" width="11.85546875" style="130" customWidth="1"/>
    <col min="3873" max="3873" width="12" style="130" customWidth="1"/>
    <col min="3874" max="3874" width="9.140625" style="130"/>
    <col min="3875" max="3875" width="12.7109375" style="130" customWidth="1"/>
    <col min="3876" max="3876" width="13.5703125" style="130" customWidth="1"/>
    <col min="3877" max="3877" width="15.28515625" style="130" customWidth="1"/>
    <col min="3878" max="3878" width="17" style="130" customWidth="1"/>
    <col min="3879" max="3879" width="18.140625" style="130" customWidth="1"/>
    <col min="3880" max="3880" width="12.85546875" style="130" customWidth="1"/>
    <col min="3881" max="3881" width="17.5703125" style="130" customWidth="1"/>
    <col min="3882" max="3882" width="15.140625" style="130" customWidth="1"/>
    <col min="3883" max="3883" width="11.28515625" style="130" customWidth="1"/>
    <col min="3884" max="3884" width="11.85546875" style="130" customWidth="1"/>
    <col min="3885" max="3885" width="12" style="130" customWidth="1"/>
    <col min="3886" max="3886" width="9.140625" style="130"/>
    <col min="3887" max="3887" width="51.5703125" style="130" customWidth="1"/>
    <col min="3888" max="3888" width="14.28515625" style="130" customWidth="1"/>
    <col min="3889" max="3889" width="20.42578125" style="130" customWidth="1"/>
    <col min="3890" max="4096" width="9.140625" style="130"/>
    <col min="4097" max="4097" width="66.42578125" style="130" customWidth="1"/>
    <col min="4098" max="4098" width="75.140625" style="130" customWidth="1"/>
    <col min="4099" max="4099" width="14.42578125" style="130" customWidth="1"/>
    <col min="4100" max="4100" width="13.42578125" style="130" customWidth="1"/>
    <col min="4101" max="4101" width="15.5703125" style="130" customWidth="1"/>
    <col min="4102" max="4102" width="17.42578125" style="130" customWidth="1"/>
    <col min="4103" max="4103" width="11.85546875" style="130" customWidth="1"/>
    <col min="4104" max="4104" width="16" style="130" customWidth="1"/>
    <col min="4105" max="4105" width="13.140625" style="130" customWidth="1"/>
    <col min="4106" max="4106" width="12" style="130" customWidth="1"/>
    <col min="4107" max="4107" width="15.140625" style="130" customWidth="1"/>
    <col min="4108" max="4108" width="15.85546875" style="130" customWidth="1"/>
    <col min="4109" max="4109" width="14.85546875" style="130" customWidth="1"/>
    <col min="4110" max="4110" width="13.5703125" style="130" customWidth="1"/>
    <col min="4111" max="4111" width="15.28515625" style="130" customWidth="1"/>
    <col min="4112" max="4112" width="12.7109375" style="130" customWidth="1"/>
    <col min="4113" max="4113" width="14" style="130" customWidth="1"/>
    <col min="4114" max="4114" width="12.42578125" style="130" customWidth="1"/>
    <col min="4115" max="4115" width="13" style="130" customWidth="1"/>
    <col min="4116" max="4116" width="13.42578125" style="130" customWidth="1"/>
    <col min="4117" max="4117" width="17.7109375" style="130" customWidth="1"/>
    <col min="4118" max="4118" width="19.140625" style="130" customWidth="1"/>
    <col min="4119" max="4119" width="12.5703125" style="130" bestFit="1" customWidth="1"/>
    <col min="4120" max="4120" width="11.85546875" style="130" customWidth="1"/>
    <col min="4121" max="4121" width="13.140625" style="130" customWidth="1"/>
    <col min="4122" max="4122" width="14.140625" style="130" customWidth="1"/>
    <col min="4123" max="4123" width="14.7109375" style="130" customWidth="1"/>
    <col min="4124" max="4124" width="10.7109375" style="130" customWidth="1"/>
    <col min="4125" max="4125" width="12.42578125" style="130" customWidth="1"/>
    <col min="4126" max="4126" width="13.42578125" style="130" customWidth="1"/>
    <col min="4127" max="4127" width="13" style="130" customWidth="1"/>
    <col min="4128" max="4128" width="11.85546875" style="130" customWidth="1"/>
    <col min="4129" max="4129" width="12" style="130" customWidth="1"/>
    <col min="4130" max="4130" width="9.140625" style="130"/>
    <col min="4131" max="4131" width="12.7109375" style="130" customWidth="1"/>
    <col min="4132" max="4132" width="13.5703125" style="130" customWidth="1"/>
    <col min="4133" max="4133" width="15.28515625" style="130" customWidth="1"/>
    <col min="4134" max="4134" width="17" style="130" customWidth="1"/>
    <col min="4135" max="4135" width="18.140625" style="130" customWidth="1"/>
    <col min="4136" max="4136" width="12.85546875" style="130" customWidth="1"/>
    <col min="4137" max="4137" width="17.5703125" style="130" customWidth="1"/>
    <col min="4138" max="4138" width="15.140625" style="130" customWidth="1"/>
    <col min="4139" max="4139" width="11.28515625" style="130" customWidth="1"/>
    <col min="4140" max="4140" width="11.85546875" style="130" customWidth="1"/>
    <col min="4141" max="4141" width="12" style="130" customWidth="1"/>
    <col min="4142" max="4142" width="9.140625" style="130"/>
    <col min="4143" max="4143" width="51.5703125" style="130" customWidth="1"/>
    <col min="4144" max="4144" width="14.28515625" style="130" customWidth="1"/>
    <col min="4145" max="4145" width="20.42578125" style="130" customWidth="1"/>
    <col min="4146" max="4352" width="9.140625" style="130"/>
    <col min="4353" max="4353" width="66.42578125" style="130" customWidth="1"/>
    <col min="4354" max="4354" width="75.140625" style="130" customWidth="1"/>
    <col min="4355" max="4355" width="14.42578125" style="130" customWidth="1"/>
    <col min="4356" max="4356" width="13.42578125" style="130" customWidth="1"/>
    <col min="4357" max="4357" width="15.5703125" style="130" customWidth="1"/>
    <col min="4358" max="4358" width="17.42578125" style="130" customWidth="1"/>
    <col min="4359" max="4359" width="11.85546875" style="130" customWidth="1"/>
    <col min="4360" max="4360" width="16" style="130" customWidth="1"/>
    <col min="4361" max="4361" width="13.140625" style="130" customWidth="1"/>
    <col min="4362" max="4362" width="12" style="130" customWidth="1"/>
    <col min="4363" max="4363" width="15.140625" style="130" customWidth="1"/>
    <col min="4364" max="4364" width="15.85546875" style="130" customWidth="1"/>
    <col min="4365" max="4365" width="14.85546875" style="130" customWidth="1"/>
    <col min="4366" max="4366" width="13.5703125" style="130" customWidth="1"/>
    <col min="4367" max="4367" width="15.28515625" style="130" customWidth="1"/>
    <col min="4368" max="4368" width="12.7109375" style="130" customWidth="1"/>
    <col min="4369" max="4369" width="14" style="130" customWidth="1"/>
    <col min="4370" max="4370" width="12.42578125" style="130" customWidth="1"/>
    <col min="4371" max="4371" width="13" style="130" customWidth="1"/>
    <col min="4372" max="4372" width="13.42578125" style="130" customWidth="1"/>
    <col min="4373" max="4373" width="17.7109375" style="130" customWidth="1"/>
    <col min="4374" max="4374" width="19.140625" style="130" customWidth="1"/>
    <col min="4375" max="4375" width="12.5703125" style="130" bestFit="1" customWidth="1"/>
    <col min="4376" max="4376" width="11.85546875" style="130" customWidth="1"/>
    <col min="4377" max="4377" width="13.140625" style="130" customWidth="1"/>
    <col min="4378" max="4378" width="14.140625" style="130" customWidth="1"/>
    <col min="4379" max="4379" width="14.7109375" style="130" customWidth="1"/>
    <col min="4380" max="4380" width="10.7109375" style="130" customWidth="1"/>
    <col min="4381" max="4381" width="12.42578125" style="130" customWidth="1"/>
    <col min="4382" max="4382" width="13.42578125" style="130" customWidth="1"/>
    <col min="4383" max="4383" width="13" style="130" customWidth="1"/>
    <col min="4384" max="4384" width="11.85546875" style="130" customWidth="1"/>
    <col min="4385" max="4385" width="12" style="130" customWidth="1"/>
    <col min="4386" max="4386" width="9.140625" style="130"/>
    <col min="4387" max="4387" width="12.7109375" style="130" customWidth="1"/>
    <col min="4388" max="4388" width="13.5703125" style="130" customWidth="1"/>
    <col min="4389" max="4389" width="15.28515625" style="130" customWidth="1"/>
    <col min="4390" max="4390" width="17" style="130" customWidth="1"/>
    <col min="4391" max="4391" width="18.140625" style="130" customWidth="1"/>
    <col min="4392" max="4392" width="12.85546875" style="130" customWidth="1"/>
    <col min="4393" max="4393" width="17.5703125" style="130" customWidth="1"/>
    <col min="4394" max="4394" width="15.140625" style="130" customWidth="1"/>
    <col min="4395" max="4395" width="11.28515625" style="130" customWidth="1"/>
    <col min="4396" max="4396" width="11.85546875" style="130" customWidth="1"/>
    <col min="4397" max="4397" width="12" style="130" customWidth="1"/>
    <col min="4398" max="4398" width="9.140625" style="130"/>
    <col min="4399" max="4399" width="51.5703125" style="130" customWidth="1"/>
    <col min="4400" max="4400" width="14.28515625" style="130" customWidth="1"/>
    <col min="4401" max="4401" width="20.42578125" style="130" customWidth="1"/>
    <col min="4402" max="4608" width="9.140625" style="130"/>
    <col min="4609" max="4609" width="66.42578125" style="130" customWidth="1"/>
    <col min="4610" max="4610" width="75.140625" style="130" customWidth="1"/>
    <col min="4611" max="4611" width="14.42578125" style="130" customWidth="1"/>
    <col min="4612" max="4612" width="13.42578125" style="130" customWidth="1"/>
    <col min="4613" max="4613" width="15.5703125" style="130" customWidth="1"/>
    <col min="4614" max="4614" width="17.42578125" style="130" customWidth="1"/>
    <col min="4615" max="4615" width="11.85546875" style="130" customWidth="1"/>
    <col min="4616" max="4616" width="16" style="130" customWidth="1"/>
    <col min="4617" max="4617" width="13.140625" style="130" customWidth="1"/>
    <col min="4618" max="4618" width="12" style="130" customWidth="1"/>
    <col min="4619" max="4619" width="15.140625" style="130" customWidth="1"/>
    <col min="4620" max="4620" width="15.85546875" style="130" customWidth="1"/>
    <col min="4621" max="4621" width="14.85546875" style="130" customWidth="1"/>
    <col min="4622" max="4622" width="13.5703125" style="130" customWidth="1"/>
    <col min="4623" max="4623" width="15.28515625" style="130" customWidth="1"/>
    <col min="4624" max="4624" width="12.7109375" style="130" customWidth="1"/>
    <col min="4625" max="4625" width="14" style="130" customWidth="1"/>
    <col min="4626" max="4626" width="12.42578125" style="130" customWidth="1"/>
    <col min="4627" max="4627" width="13" style="130" customWidth="1"/>
    <col min="4628" max="4628" width="13.42578125" style="130" customWidth="1"/>
    <col min="4629" max="4629" width="17.7109375" style="130" customWidth="1"/>
    <col min="4630" max="4630" width="19.140625" style="130" customWidth="1"/>
    <col min="4631" max="4631" width="12.5703125" style="130" bestFit="1" customWidth="1"/>
    <col min="4632" max="4632" width="11.85546875" style="130" customWidth="1"/>
    <col min="4633" max="4633" width="13.140625" style="130" customWidth="1"/>
    <col min="4634" max="4634" width="14.140625" style="130" customWidth="1"/>
    <col min="4635" max="4635" width="14.7109375" style="130" customWidth="1"/>
    <col min="4636" max="4636" width="10.7109375" style="130" customWidth="1"/>
    <col min="4637" max="4637" width="12.42578125" style="130" customWidth="1"/>
    <col min="4638" max="4638" width="13.42578125" style="130" customWidth="1"/>
    <col min="4639" max="4639" width="13" style="130" customWidth="1"/>
    <col min="4640" max="4640" width="11.85546875" style="130" customWidth="1"/>
    <col min="4641" max="4641" width="12" style="130" customWidth="1"/>
    <col min="4642" max="4642" width="9.140625" style="130"/>
    <col min="4643" max="4643" width="12.7109375" style="130" customWidth="1"/>
    <col min="4644" max="4644" width="13.5703125" style="130" customWidth="1"/>
    <col min="4645" max="4645" width="15.28515625" style="130" customWidth="1"/>
    <col min="4646" max="4646" width="17" style="130" customWidth="1"/>
    <col min="4647" max="4647" width="18.140625" style="130" customWidth="1"/>
    <col min="4648" max="4648" width="12.85546875" style="130" customWidth="1"/>
    <col min="4649" max="4649" width="17.5703125" style="130" customWidth="1"/>
    <col min="4650" max="4650" width="15.140625" style="130" customWidth="1"/>
    <col min="4651" max="4651" width="11.28515625" style="130" customWidth="1"/>
    <col min="4652" max="4652" width="11.85546875" style="130" customWidth="1"/>
    <col min="4653" max="4653" width="12" style="130" customWidth="1"/>
    <col min="4654" max="4654" width="9.140625" style="130"/>
    <col min="4655" max="4655" width="51.5703125" style="130" customWidth="1"/>
    <col min="4656" max="4656" width="14.28515625" style="130" customWidth="1"/>
    <col min="4657" max="4657" width="20.42578125" style="130" customWidth="1"/>
    <col min="4658" max="4864" width="9.140625" style="130"/>
    <col min="4865" max="4865" width="66.42578125" style="130" customWidth="1"/>
    <col min="4866" max="4866" width="75.140625" style="130" customWidth="1"/>
    <col min="4867" max="4867" width="14.42578125" style="130" customWidth="1"/>
    <col min="4868" max="4868" width="13.42578125" style="130" customWidth="1"/>
    <col min="4869" max="4869" width="15.5703125" style="130" customWidth="1"/>
    <col min="4870" max="4870" width="17.42578125" style="130" customWidth="1"/>
    <col min="4871" max="4871" width="11.85546875" style="130" customWidth="1"/>
    <col min="4872" max="4872" width="16" style="130" customWidth="1"/>
    <col min="4873" max="4873" width="13.140625" style="130" customWidth="1"/>
    <col min="4874" max="4874" width="12" style="130" customWidth="1"/>
    <col min="4875" max="4875" width="15.140625" style="130" customWidth="1"/>
    <col min="4876" max="4876" width="15.85546875" style="130" customWidth="1"/>
    <col min="4877" max="4877" width="14.85546875" style="130" customWidth="1"/>
    <col min="4878" max="4878" width="13.5703125" style="130" customWidth="1"/>
    <col min="4879" max="4879" width="15.28515625" style="130" customWidth="1"/>
    <col min="4880" max="4880" width="12.7109375" style="130" customWidth="1"/>
    <col min="4881" max="4881" width="14" style="130" customWidth="1"/>
    <col min="4882" max="4882" width="12.42578125" style="130" customWidth="1"/>
    <col min="4883" max="4883" width="13" style="130" customWidth="1"/>
    <col min="4884" max="4884" width="13.42578125" style="130" customWidth="1"/>
    <col min="4885" max="4885" width="17.7109375" style="130" customWidth="1"/>
    <col min="4886" max="4886" width="19.140625" style="130" customWidth="1"/>
    <col min="4887" max="4887" width="12.5703125" style="130" bestFit="1" customWidth="1"/>
    <col min="4888" max="4888" width="11.85546875" style="130" customWidth="1"/>
    <col min="4889" max="4889" width="13.140625" style="130" customWidth="1"/>
    <col min="4890" max="4890" width="14.140625" style="130" customWidth="1"/>
    <col min="4891" max="4891" width="14.7109375" style="130" customWidth="1"/>
    <col min="4892" max="4892" width="10.7109375" style="130" customWidth="1"/>
    <col min="4893" max="4893" width="12.42578125" style="130" customWidth="1"/>
    <col min="4894" max="4894" width="13.42578125" style="130" customWidth="1"/>
    <col min="4895" max="4895" width="13" style="130" customWidth="1"/>
    <col min="4896" max="4896" width="11.85546875" style="130" customWidth="1"/>
    <col min="4897" max="4897" width="12" style="130" customWidth="1"/>
    <col min="4898" max="4898" width="9.140625" style="130"/>
    <col min="4899" max="4899" width="12.7109375" style="130" customWidth="1"/>
    <col min="4900" max="4900" width="13.5703125" style="130" customWidth="1"/>
    <col min="4901" max="4901" width="15.28515625" style="130" customWidth="1"/>
    <col min="4902" max="4902" width="17" style="130" customWidth="1"/>
    <col min="4903" max="4903" width="18.140625" style="130" customWidth="1"/>
    <col min="4904" max="4904" width="12.85546875" style="130" customWidth="1"/>
    <col min="4905" max="4905" width="17.5703125" style="130" customWidth="1"/>
    <col min="4906" max="4906" width="15.140625" style="130" customWidth="1"/>
    <col min="4907" max="4907" width="11.28515625" style="130" customWidth="1"/>
    <col min="4908" max="4908" width="11.85546875" style="130" customWidth="1"/>
    <col min="4909" max="4909" width="12" style="130" customWidth="1"/>
    <col min="4910" max="4910" width="9.140625" style="130"/>
    <col min="4911" max="4911" width="51.5703125" style="130" customWidth="1"/>
    <col min="4912" max="4912" width="14.28515625" style="130" customWidth="1"/>
    <col min="4913" max="4913" width="20.42578125" style="130" customWidth="1"/>
    <col min="4914" max="5120" width="9.140625" style="130"/>
    <col min="5121" max="5121" width="66.42578125" style="130" customWidth="1"/>
    <col min="5122" max="5122" width="75.140625" style="130" customWidth="1"/>
    <col min="5123" max="5123" width="14.42578125" style="130" customWidth="1"/>
    <col min="5124" max="5124" width="13.42578125" style="130" customWidth="1"/>
    <col min="5125" max="5125" width="15.5703125" style="130" customWidth="1"/>
    <col min="5126" max="5126" width="17.42578125" style="130" customWidth="1"/>
    <col min="5127" max="5127" width="11.85546875" style="130" customWidth="1"/>
    <col min="5128" max="5128" width="16" style="130" customWidth="1"/>
    <col min="5129" max="5129" width="13.140625" style="130" customWidth="1"/>
    <col min="5130" max="5130" width="12" style="130" customWidth="1"/>
    <col min="5131" max="5131" width="15.140625" style="130" customWidth="1"/>
    <col min="5132" max="5132" width="15.85546875" style="130" customWidth="1"/>
    <col min="5133" max="5133" width="14.85546875" style="130" customWidth="1"/>
    <col min="5134" max="5134" width="13.5703125" style="130" customWidth="1"/>
    <col min="5135" max="5135" width="15.28515625" style="130" customWidth="1"/>
    <col min="5136" max="5136" width="12.7109375" style="130" customWidth="1"/>
    <col min="5137" max="5137" width="14" style="130" customWidth="1"/>
    <col min="5138" max="5138" width="12.42578125" style="130" customWidth="1"/>
    <col min="5139" max="5139" width="13" style="130" customWidth="1"/>
    <col min="5140" max="5140" width="13.42578125" style="130" customWidth="1"/>
    <col min="5141" max="5141" width="17.7109375" style="130" customWidth="1"/>
    <col min="5142" max="5142" width="19.140625" style="130" customWidth="1"/>
    <col min="5143" max="5143" width="12.5703125" style="130" bestFit="1" customWidth="1"/>
    <col min="5144" max="5144" width="11.85546875" style="130" customWidth="1"/>
    <col min="5145" max="5145" width="13.140625" style="130" customWidth="1"/>
    <col min="5146" max="5146" width="14.140625" style="130" customWidth="1"/>
    <col min="5147" max="5147" width="14.7109375" style="130" customWidth="1"/>
    <col min="5148" max="5148" width="10.7109375" style="130" customWidth="1"/>
    <col min="5149" max="5149" width="12.42578125" style="130" customWidth="1"/>
    <col min="5150" max="5150" width="13.42578125" style="130" customWidth="1"/>
    <col min="5151" max="5151" width="13" style="130" customWidth="1"/>
    <col min="5152" max="5152" width="11.85546875" style="130" customWidth="1"/>
    <col min="5153" max="5153" width="12" style="130" customWidth="1"/>
    <col min="5154" max="5154" width="9.140625" style="130"/>
    <col min="5155" max="5155" width="12.7109375" style="130" customWidth="1"/>
    <col min="5156" max="5156" width="13.5703125" style="130" customWidth="1"/>
    <col min="5157" max="5157" width="15.28515625" style="130" customWidth="1"/>
    <col min="5158" max="5158" width="17" style="130" customWidth="1"/>
    <col min="5159" max="5159" width="18.140625" style="130" customWidth="1"/>
    <col min="5160" max="5160" width="12.85546875" style="130" customWidth="1"/>
    <col min="5161" max="5161" width="17.5703125" style="130" customWidth="1"/>
    <col min="5162" max="5162" width="15.140625" style="130" customWidth="1"/>
    <col min="5163" max="5163" width="11.28515625" style="130" customWidth="1"/>
    <col min="5164" max="5164" width="11.85546875" style="130" customWidth="1"/>
    <col min="5165" max="5165" width="12" style="130" customWidth="1"/>
    <col min="5166" max="5166" width="9.140625" style="130"/>
    <col min="5167" max="5167" width="51.5703125" style="130" customWidth="1"/>
    <col min="5168" max="5168" width="14.28515625" style="130" customWidth="1"/>
    <col min="5169" max="5169" width="20.42578125" style="130" customWidth="1"/>
    <col min="5170" max="5376" width="9.140625" style="130"/>
    <col min="5377" max="5377" width="66.42578125" style="130" customWidth="1"/>
    <col min="5378" max="5378" width="75.140625" style="130" customWidth="1"/>
    <col min="5379" max="5379" width="14.42578125" style="130" customWidth="1"/>
    <col min="5380" max="5380" width="13.42578125" style="130" customWidth="1"/>
    <col min="5381" max="5381" width="15.5703125" style="130" customWidth="1"/>
    <col min="5382" max="5382" width="17.42578125" style="130" customWidth="1"/>
    <col min="5383" max="5383" width="11.85546875" style="130" customWidth="1"/>
    <col min="5384" max="5384" width="16" style="130" customWidth="1"/>
    <col min="5385" max="5385" width="13.140625" style="130" customWidth="1"/>
    <col min="5386" max="5386" width="12" style="130" customWidth="1"/>
    <col min="5387" max="5387" width="15.140625" style="130" customWidth="1"/>
    <col min="5388" max="5388" width="15.85546875" style="130" customWidth="1"/>
    <col min="5389" max="5389" width="14.85546875" style="130" customWidth="1"/>
    <col min="5390" max="5390" width="13.5703125" style="130" customWidth="1"/>
    <col min="5391" max="5391" width="15.28515625" style="130" customWidth="1"/>
    <col min="5392" max="5392" width="12.7109375" style="130" customWidth="1"/>
    <col min="5393" max="5393" width="14" style="130" customWidth="1"/>
    <col min="5394" max="5394" width="12.42578125" style="130" customWidth="1"/>
    <col min="5395" max="5395" width="13" style="130" customWidth="1"/>
    <col min="5396" max="5396" width="13.42578125" style="130" customWidth="1"/>
    <col min="5397" max="5397" width="17.7109375" style="130" customWidth="1"/>
    <col min="5398" max="5398" width="19.140625" style="130" customWidth="1"/>
    <col min="5399" max="5399" width="12.5703125" style="130" bestFit="1" customWidth="1"/>
    <col min="5400" max="5400" width="11.85546875" style="130" customWidth="1"/>
    <col min="5401" max="5401" width="13.140625" style="130" customWidth="1"/>
    <col min="5402" max="5402" width="14.140625" style="130" customWidth="1"/>
    <col min="5403" max="5403" width="14.7109375" style="130" customWidth="1"/>
    <col min="5404" max="5404" width="10.7109375" style="130" customWidth="1"/>
    <col min="5405" max="5405" width="12.42578125" style="130" customWidth="1"/>
    <col min="5406" max="5406" width="13.42578125" style="130" customWidth="1"/>
    <col min="5407" max="5407" width="13" style="130" customWidth="1"/>
    <col min="5408" max="5408" width="11.85546875" style="130" customWidth="1"/>
    <col min="5409" max="5409" width="12" style="130" customWidth="1"/>
    <col min="5410" max="5410" width="9.140625" style="130"/>
    <col min="5411" max="5411" width="12.7109375" style="130" customWidth="1"/>
    <col min="5412" max="5412" width="13.5703125" style="130" customWidth="1"/>
    <col min="5413" max="5413" width="15.28515625" style="130" customWidth="1"/>
    <col min="5414" max="5414" width="17" style="130" customWidth="1"/>
    <col min="5415" max="5415" width="18.140625" style="130" customWidth="1"/>
    <col min="5416" max="5416" width="12.85546875" style="130" customWidth="1"/>
    <col min="5417" max="5417" width="17.5703125" style="130" customWidth="1"/>
    <col min="5418" max="5418" width="15.140625" style="130" customWidth="1"/>
    <col min="5419" max="5419" width="11.28515625" style="130" customWidth="1"/>
    <col min="5420" max="5420" width="11.85546875" style="130" customWidth="1"/>
    <col min="5421" max="5421" width="12" style="130" customWidth="1"/>
    <col min="5422" max="5422" width="9.140625" style="130"/>
    <col min="5423" max="5423" width="51.5703125" style="130" customWidth="1"/>
    <col min="5424" max="5424" width="14.28515625" style="130" customWidth="1"/>
    <col min="5425" max="5425" width="20.42578125" style="130" customWidth="1"/>
    <col min="5426" max="5632" width="9.140625" style="130"/>
    <col min="5633" max="5633" width="66.42578125" style="130" customWidth="1"/>
    <col min="5634" max="5634" width="75.140625" style="130" customWidth="1"/>
    <col min="5635" max="5635" width="14.42578125" style="130" customWidth="1"/>
    <col min="5636" max="5636" width="13.42578125" style="130" customWidth="1"/>
    <col min="5637" max="5637" width="15.5703125" style="130" customWidth="1"/>
    <col min="5638" max="5638" width="17.42578125" style="130" customWidth="1"/>
    <col min="5639" max="5639" width="11.85546875" style="130" customWidth="1"/>
    <col min="5640" max="5640" width="16" style="130" customWidth="1"/>
    <col min="5641" max="5641" width="13.140625" style="130" customWidth="1"/>
    <col min="5642" max="5642" width="12" style="130" customWidth="1"/>
    <col min="5643" max="5643" width="15.140625" style="130" customWidth="1"/>
    <col min="5644" max="5644" width="15.85546875" style="130" customWidth="1"/>
    <col min="5645" max="5645" width="14.85546875" style="130" customWidth="1"/>
    <col min="5646" max="5646" width="13.5703125" style="130" customWidth="1"/>
    <col min="5647" max="5647" width="15.28515625" style="130" customWidth="1"/>
    <col min="5648" max="5648" width="12.7109375" style="130" customWidth="1"/>
    <col min="5649" max="5649" width="14" style="130" customWidth="1"/>
    <col min="5650" max="5650" width="12.42578125" style="130" customWidth="1"/>
    <col min="5651" max="5651" width="13" style="130" customWidth="1"/>
    <col min="5652" max="5652" width="13.42578125" style="130" customWidth="1"/>
    <col min="5653" max="5653" width="17.7109375" style="130" customWidth="1"/>
    <col min="5654" max="5654" width="19.140625" style="130" customWidth="1"/>
    <col min="5655" max="5655" width="12.5703125" style="130" bestFit="1" customWidth="1"/>
    <col min="5656" max="5656" width="11.85546875" style="130" customWidth="1"/>
    <col min="5657" max="5657" width="13.140625" style="130" customWidth="1"/>
    <col min="5658" max="5658" width="14.140625" style="130" customWidth="1"/>
    <col min="5659" max="5659" width="14.7109375" style="130" customWidth="1"/>
    <col min="5660" max="5660" width="10.7109375" style="130" customWidth="1"/>
    <col min="5661" max="5661" width="12.42578125" style="130" customWidth="1"/>
    <col min="5662" max="5662" width="13.42578125" style="130" customWidth="1"/>
    <col min="5663" max="5663" width="13" style="130" customWidth="1"/>
    <col min="5664" max="5664" width="11.85546875" style="130" customWidth="1"/>
    <col min="5665" max="5665" width="12" style="130" customWidth="1"/>
    <col min="5666" max="5666" width="9.140625" style="130"/>
    <col min="5667" max="5667" width="12.7109375" style="130" customWidth="1"/>
    <col min="5668" max="5668" width="13.5703125" style="130" customWidth="1"/>
    <col min="5669" max="5669" width="15.28515625" style="130" customWidth="1"/>
    <col min="5670" max="5670" width="17" style="130" customWidth="1"/>
    <col min="5671" max="5671" width="18.140625" style="130" customWidth="1"/>
    <col min="5672" max="5672" width="12.85546875" style="130" customWidth="1"/>
    <col min="5673" max="5673" width="17.5703125" style="130" customWidth="1"/>
    <col min="5674" max="5674" width="15.140625" style="130" customWidth="1"/>
    <col min="5675" max="5675" width="11.28515625" style="130" customWidth="1"/>
    <col min="5676" max="5676" width="11.85546875" style="130" customWidth="1"/>
    <col min="5677" max="5677" width="12" style="130" customWidth="1"/>
    <col min="5678" max="5678" width="9.140625" style="130"/>
    <col min="5679" max="5679" width="51.5703125" style="130" customWidth="1"/>
    <col min="5680" max="5680" width="14.28515625" style="130" customWidth="1"/>
    <col min="5681" max="5681" width="20.42578125" style="130" customWidth="1"/>
    <col min="5682" max="5888" width="9.140625" style="130"/>
    <col min="5889" max="5889" width="66.42578125" style="130" customWidth="1"/>
    <col min="5890" max="5890" width="75.140625" style="130" customWidth="1"/>
    <col min="5891" max="5891" width="14.42578125" style="130" customWidth="1"/>
    <col min="5892" max="5892" width="13.42578125" style="130" customWidth="1"/>
    <col min="5893" max="5893" width="15.5703125" style="130" customWidth="1"/>
    <col min="5894" max="5894" width="17.42578125" style="130" customWidth="1"/>
    <col min="5895" max="5895" width="11.85546875" style="130" customWidth="1"/>
    <col min="5896" max="5896" width="16" style="130" customWidth="1"/>
    <col min="5897" max="5897" width="13.140625" style="130" customWidth="1"/>
    <col min="5898" max="5898" width="12" style="130" customWidth="1"/>
    <col min="5899" max="5899" width="15.140625" style="130" customWidth="1"/>
    <col min="5900" max="5900" width="15.85546875" style="130" customWidth="1"/>
    <col min="5901" max="5901" width="14.85546875" style="130" customWidth="1"/>
    <col min="5902" max="5902" width="13.5703125" style="130" customWidth="1"/>
    <col min="5903" max="5903" width="15.28515625" style="130" customWidth="1"/>
    <col min="5904" max="5904" width="12.7109375" style="130" customWidth="1"/>
    <col min="5905" max="5905" width="14" style="130" customWidth="1"/>
    <col min="5906" max="5906" width="12.42578125" style="130" customWidth="1"/>
    <col min="5907" max="5907" width="13" style="130" customWidth="1"/>
    <col min="5908" max="5908" width="13.42578125" style="130" customWidth="1"/>
    <col min="5909" max="5909" width="17.7109375" style="130" customWidth="1"/>
    <col min="5910" max="5910" width="19.140625" style="130" customWidth="1"/>
    <col min="5911" max="5911" width="12.5703125" style="130" bestFit="1" customWidth="1"/>
    <col min="5912" max="5912" width="11.85546875" style="130" customWidth="1"/>
    <col min="5913" max="5913" width="13.140625" style="130" customWidth="1"/>
    <col min="5914" max="5914" width="14.140625" style="130" customWidth="1"/>
    <col min="5915" max="5915" width="14.7109375" style="130" customWidth="1"/>
    <col min="5916" max="5916" width="10.7109375" style="130" customWidth="1"/>
    <col min="5917" max="5917" width="12.42578125" style="130" customWidth="1"/>
    <col min="5918" max="5918" width="13.42578125" style="130" customWidth="1"/>
    <col min="5919" max="5919" width="13" style="130" customWidth="1"/>
    <col min="5920" max="5920" width="11.85546875" style="130" customWidth="1"/>
    <col min="5921" max="5921" width="12" style="130" customWidth="1"/>
    <col min="5922" max="5922" width="9.140625" style="130"/>
    <col min="5923" max="5923" width="12.7109375" style="130" customWidth="1"/>
    <col min="5924" max="5924" width="13.5703125" style="130" customWidth="1"/>
    <col min="5925" max="5925" width="15.28515625" style="130" customWidth="1"/>
    <col min="5926" max="5926" width="17" style="130" customWidth="1"/>
    <col min="5927" max="5927" width="18.140625" style="130" customWidth="1"/>
    <col min="5928" max="5928" width="12.85546875" style="130" customWidth="1"/>
    <col min="5929" max="5929" width="17.5703125" style="130" customWidth="1"/>
    <col min="5930" max="5930" width="15.140625" style="130" customWidth="1"/>
    <col min="5931" max="5931" width="11.28515625" style="130" customWidth="1"/>
    <col min="5932" max="5932" width="11.85546875" style="130" customWidth="1"/>
    <col min="5933" max="5933" width="12" style="130" customWidth="1"/>
    <col min="5934" max="5934" width="9.140625" style="130"/>
    <col min="5935" max="5935" width="51.5703125" style="130" customWidth="1"/>
    <col min="5936" max="5936" width="14.28515625" style="130" customWidth="1"/>
    <col min="5937" max="5937" width="20.42578125" style="130" customWidth="1"/>
    <col min="5938" max="6144" width="9.140625" style="130"/>
    <col min="6145" max="6145" width="66.42578125" style="130" customWidth="1"/>
    <col min="6146" max="6146" width="75.140625" style="130" customWidth="1"/>
    <col min="6147" max="6147" width="14.42578125" style="130" customWidth="1"/>
    <col min="6148" max="6148" width="13.42578125" style="130" customWidth="1"/>
    <col min="6149" max="6149" width="15.5703125" style="130" customWidth="1"/>
    <col min="6150" max="6150" width="17.42578125" style="130" customWidth="1"/>
    <col min="6151" max="6151" width="11.85546875" style="130" customWidth="1"/>
    <col min="6152" max="6152" width="16" style="130" customWidth="1"/>
    <col min="6153" max="6153" width="13.140625" style="130" customWidth="1"/>
    <col min="6154" max="6154" width="12" style="130" customWidth="1"/>
    <col min="6155" max="6155" width="15.140625" style="130" customWidth="1"/>
    <col min="6156" max="6156" width="15.85546875" style="130" customWidth="1"/>
    <col min="6157" max="6157" width="14.85546875" style="130" customWidth="1"/>
    <col min="6158" max="6158" width="13.5703125" style="130" customWidth="1"/>
    <col min="6159" max="6159" width="15.28515625" style="130" customWidth="1"/>
    <col min="6160" max="6160" width="12.7109375" style="130" customWidth="1"/>
    <col min="6161" max="6161" width="14" style="130" customWidth="1"/>
    <col min="6162" max="6162" width="12.42578125" style="130" customWidth="1"/>
    <col min="6163" max="6163" width="13" style="130" customWidth="1"/>
    <col min="6164" max="6164" width="13.42578125" style="130" customWidth="1"/>
    <col min="6165" max="6165" width="17.7109375" style="130" customWidth="1"/>
    <col min="6166" max="6166" width="19.140625" style="130" customWidth="1"/>
    <col min="6167" max="6167" width="12.5703125" style="130" bestFit="1" customWidth="1"/>
    <col min="6168" max="6168" width="11.85546875" style="130" customWidth="1"/>
    <col min="6169" max="6169" width="13.140625" style="130" customWidth="1"/>
    <col min="6170" max="6170" width="14.140625" style="130" customWidth="1"/>
    <col min="6171" max="6171" width="14.7109375" style="130" customWidth="1"/>
    <col min="6172" max="6172" width="10.7109375" style="130" customWidth="1"/>
    <col min="6173" max="6173" width="12.42578125" style="130" customWidth="1"/>
    <col min="6174" max="6174" width="13.42578125" style="130" customWidth="1"/>
    <col min="6175" max="6175" width="13" style="130" customWidth="1"/>
    <col min="6176" max="6176" width="11.85546875" style="130" customWidth="1"/>
    <col min="6177" max="6177" width="12" style="130" customWidth="1"/>
    <col min="6178" max="6178" width="9.140625" style="130"/>
    <col min="6179" max="6179" width="12.7109375" style="130" customWidth="1"/>
    <col min="6180" max="6180" width="13.5703125" style="130" customWidth="1"/>
    <col min="6181" max="6181" width="15.28515625" style="130" customWidth="1"/>
    <col min="6182" max="6182" width="17" style="130" customWidth="1"/>
    <col min="6183" max="6183" width="18.140625" style="130" customWidth="1"/>
    <col min="6184" max="6184" width="12.85546875" style="130" customWidth="1"/>
    <col min="6185" max="6185" width="17.5703125" style="130" customWidth="1"/>
    <col min="6186" max="6186" width="15.140625" style="130" customWidth="1"/>
    <col min="6187" max="6187" width="11.28515625" style="130" customWidth="1"/>
    <col min="6188" max="6188" width="11.85546875" style="130" customWidth="1"/>
    <col min="6189" max="6189" width="12" style="130" customWidth="1"/>
    <col min="6190" max="6190" width="9.140625" style="130"/>
    <col min="6191" max="6191" width="51.5703125" style="130" customWidth="1"/>
    <col min="6192" max="6192" width="14.28515625" style="130" customWidth="1"/>
    <col min="6193" max="6193" width="20.42578125" style="130" customWidth="1"/>
    <col min="6194" max="6400" width="9.140625" style="130"/>
    <col min="6401" max="6401" width="66.42578125" style="130" customWidth="1"/>
    <col min="6402" max="6402" width="75.140625" style="130" customWidth="1"/>
    <col min="6403" max="6403" width="14.42578125" style="130" customWidth="1"/>
    <col min="6404" max="6404" width="13.42578125" style="130" customWidth="1"/>
    <col min="6405" max="6405" width="15.5703125" style="130" customWidth="1"/>
    <col min="6406" max="6406" width="17.42578125" style="130" customWidth="1"/>
    <col min="6407" max="6407" width="11.85546875" style="130" customWidth="1"/>
    <col min="6408" max="6408" width="16" style="130" customWidth="1"/>
    <col min="6409" max="6409" width="13.140625" style="130" customWidth="1"/>
    <col min="6410" max="6410" width="12" style="130" customWidth="1"/>
    <col min="6411" max="6411" width="15.140625" style="130" customWidth="1"/>
    <col min="6412" max="6412" width="15.85546875" style="130" customWidth="1"/>
    <col min="6413" max="6413" width="14.85546875" style="130" customWidth="1"/>
    <col min="6414" max="6414" width="13.5703125" style="130" customWidth="1"/>
    <col min="6415" max="6415" width="15.28515625" style="130" customWidth="1"/>
    <col min="6416" max="6416" width="12.7109375" style="130" customWidth="1"/>
    <col min="6417" max="6417" width="14" style="130" customWidth="1"/>
    <col min="6418" max="6418" width="12.42578125" style="130" customWidth="1"/>
    <col min="6419" max="6419" width="13" style="130" customWidth="1"/>
    <col min="6420" max="6420" width="13.42578125" style="130" customWidth="1"/>
    <col min="6421" max="6421" width="17.7109375" style="130" customWidth="1"/>
    <col min="6422" max="6422" width="19.140625" style="130" customWidth="1"/>
    <col min="6423" max="6423" width="12.5703125" style="130" bestFit="1" customWidth="1"/>
    <col min="6424" max="6424" width="11.85546875" style="130" customWidth="1"/>
    <col min="6425" max="6425" width="13.140625" style="130" customWidth="1"/>
    <col min="6426" max="6426" width="14.140625" style="130" customWidth="1"/>
    <col min="6427" max="6427" width="14.7109375" style="130" customWidth="1"/>
    <col min="6428" max="6428" width="10.7109375" style="130" customWidth="1"/>
    <col min="6429" max="6429" width="12.42578125" style="130" customWidth="1"/>
    <col min="6430" max="6430" width="13.42578125" style="130" customWidth="1"/>
    <col min="6431" max="6431" width="13" style="130" customWidth="1"/>
    <col min="6432" max="6432" width="11.85546875" style="130" customWidth="1"/>
    <col min="6433" max="6433" width="12" style="130" customWidth="1"/>
    <col min="6434" max="6434" width="9.140625" style="130"/>
    <col min="6435" max="6435" width="12.7109375" style="130" customWidth="1"/>
    <col min="6436" max="6436" width="13.5703125" style="130" customWidth="1"/>
    <col min="6437" max="6437" width="15.28515625" style="130" customWidth="1"/>
    <col min="6438" max="6438" width="17" style="130" customWidth="1"/>
    <col min="6439" max="6439" width="18.140625" style="130" customWidth="1"/>
    <col min="6440" max="6440" width="12.85546875" style="130" customWidth="1"/>
    <col min="6441" max="6441" width="17.5703125" style="130" customWidth="1"/>
    <col min="6442" max="6442" width="15.140625" style="130" customWidth="1"/>
    <col min="6443" max="6443" width="11.28515625" style="130" customWidth="1"/>
    <col min="6444" max="6444" width="11.85546875" style="130" customWidth="1"/>
    <col min="6445" max="6445" width="12" style="130" customWidth="1"/>
    <col min="6446" max="6446" width="9.140625" style="130"/>
    <col min="6447" max="6447" width="51.5703125" style="130" customWidth="1"/>
    <col min="6448" max="6448" width="14.28515625" style="130" customWidth="1"/>
    <col min="6449" max="6449" width="20.42578125" style="130" customWidth="1"/>
    <col min="6450" max="6656" width="9.140625" style="130"/>
    <col min="6657" max="6657" width="66.42578125" style="130" customWidth="1"/>
    <col min="6658" max="6658" width="75.140625" style="130" customWidth="1"/>
    <col min="6659" max="6659" width="14.42578125" style="130" customWidth="1"/>
    <col min="6660" max="6660" width="13.42578125" style="130" customWidth="1"/>
    <col min="6661" max="6661" width="15.5703125" style="130" customWidth="1"/>
    <col min="6662" max="6662" width="17.42578125" style="130" customWidth="1"/>
    <col min="6663" max="6663" width="11.85546875" style="130" customWidth="1"/>
    <col min="6664" max="6664" width="16" style="130" customWidth="1"/>
    <col min="6665" max="6665" width="13.140625" style="130" customWidth="1"/>
    <col min="6666" max="6666" width="12" style="130" customWidth="1"/>
    <col min="6667" max="6667" width="15.140625" style="130" customWidth="1"/>
    <col min="6668" max="6668" width="15.85546875" style="130" customWidth="1"/>
    <col min="6669" max="6669" width="14.85546875" style="130" customWidth="1"/>
    <col min="6670" max="6670" width="13.5703125" style="130" customWidth="1"/>
    <col min="6671" max="6671" width="15.28515625" style="130" customWidth="1"/>
    <col min="6672" max="6672" width="12.7109375" style="130" customWidth="1"/>
    <col min="6673" max="6673" width="14" style="130" customWidth="1"/>
    <col min="6674" max="6674" width="12.42578125" style="130" customWidth="1"/>
    <col min="6675" max="6675" width="13" style="130" customWidth="1"/>
    <col min="6676" max="6676" width="13.42578125" style="130" customWidth="1"/>
    <col min="6677" max="6677" width="17.7109375" style="130" customWidth="1"/>
    <col min="6678" max="6678" width="19.140625" style="130" customWidth="1"/>
    <col min="6679" max="6679" width="12.5703125" style="130" bestFit="1" customWidth="1"/>
    <col min="6680" max="6680" width="11.85546875" style="130" customWidth="1"/>
    <col min="6681" max="6681" width="13.140625" style="130" customWidth="1"/>
    <col min="6682" max="6682" width="14.140625" style="130" customWidth="1"/>
    <col min="6683" max="6683" width="14.7109375" style="130" customWidth="1"/>
    <col min="6684" max="6684" width="10.7109375" style="130" customWidth="1"/>
    <col min="6685" max="6685" width="12.42578125" style="130" customWidth="1"/>
    <col min="6686" max="6686" width="13.42578125" style="130" customWidth="1"/>
    <col min="6687" max="6687" width="13" style="130" customWidth="1"/>
    <col min="6688" max="6688" width="11.85546875" style="130" customWidth="1"/>
    <col min="6689" max="6689" width="12" style="130" customWidth="1"/>
    <col min="6690" max="6690" width="9.140625" style="130"/>
    <col min="6691" max="6691" width="12.7109375" style="130" customWidth="1"/>
    <col min="6692" max="6692" width="13.5703125" style="130" customWidth="1"/>
    <col min="6693" max="6693" width="15.28515625" style="130" customWidth="1"/>
    <col min="6694" max="6694" width="17" style="130" customWidth="1"/>
    <col min="6695" max="6695" width="18.140625" style="130" customWidth="1"/>
    <col min="6696" max="6696" width="12.85546875" style="130" customWidth="1"/>
    <col min="6697" max="6697" width="17.5703125" style="130" customWidth="1"/>
    <col min="6698" max="6698" width="15.140625" style="130" customWidth="1"/>
    <col min="6699" max="6699" width="11.28515625" style="130" customWidth="1"/>
    <col min="6700" max="6700" width="11.85546875" style="130" customWidth="1"/>
    <col min="6701" max="6701" width="12" style="130" customWidth="1"/>
    <col min="6702" max="6702" width="9.140625" style="130"/>
    <col min="6703" max="6703" width="51.5703125" style="130" customWidth="1"/>
    <col min="6704" max="6704" width="14.28515625" style="130" customWidth="1"/>
    <col min="6705" max="6705" width="20.42578125" style="130" customWidth="1"/>
    <col min="6706" max="6912" width="9.140625" style="130"/>
    <col min="6913" max="6913" width="66.42578125" style="130" customWidth="1"/>
    <col min="6914" max="6914" width="75.140625" style="130" customWidth="1"/>
    <col min="6915" max="6915" width="14.42578125" style="130" customWidth="1"/>
    <col min="6916" max="6916" width="13.42578125" style="130" customWidth="1"/>
    <col min="6917" max="6917" width="15.5703125" style="130" customWidth="1"/>
    <col min="6918" max="6918" width="17.42578125" style="130" customWidth="1"/>
    <col min="6919" max="6919" width="11.85546875" style="130" customWidth="1"/>
    <col min="6920" max="6920" width="16" style="130" customWidth="1"/>
    <col min="6921" max="6921" width="13.140625" style="130" customWidth="1"/>
    <col min="6922" max="6922" width="12" style="130" customWidth="1"/>
    <col min="6923" max="6923" width="15.140625" style="130" customWidth="1"/>
    <col min="6924" max="6924" width="15.85546875" style="130" customWidth="1"/>
    <col min="6925" max="6925" width="14.85546875" style="130" customWidth="1"/>
    <col min="6926" max="6926" width="13.5703125" style="130" customWidth="1"/>
    <col min="6927" max="6927" width="15.28515625" style="130" customWidth="1"/>
    <col min="6928" max="6928" width="12.7109375" style="130" customWidth="1"/>
    <col min="6929" max="6929" width="14" style="130" customWidth="1"/>
    <col min="6930" max="6930" width="12.42578125" style="130" customWidth="1"/>
    <col min="6931" max="6931" width="13" style="130" customWidth="1"/>
    <col min="6932" max="6932" width="13.42578125" style="130" customWidth="1"/>
    <col min="6933" max="6933" width="17.7109375" style="130" customWidth="1"/>
    <col min="6934" max="6934" width="19.140625" style="130" customWidth="1"/>
    <col min="6935" max="6935" width="12.5703125" style="130" bestFit="1" customWidth="1"/>
    <col min="6936" max="6936" width="11.85546875" style="130" customWidth="1"/>
    <col min="6937" max="6937" width="13.140625" style="130" customWidth="1"/>
    <col min="6938" max="6938" width="14.140625" style="130" customWidth="1"/>
    <col min="6939" max="6939" width="14.7109375" style="130" customWidth="1"/>
    <col min="6940" max="6940" width="10.7109375" style="130" customWidth="1"/>
    <col min="6941" max="6941" width="12.42578125" style="130" customWidth="1"/>
    <col min="6942" max="6942" width="13.42578125" style="130" customWidth="1"/>
    <col min="6943" max="6943" width="13" style="130" customWidth="1"/>
    <col min="6944" max="6944" width="11.85546875" style="130" customWidth="1"/>
    <col min="6945" max="6945" width="12" style="130" customWidth="1"/>
    <col min="6946" max="6946" width="9.140625" style="130"/>
    <col min="6947" max="6947" width="12.7109375" style="130" customWidth="1"/>
    <col min="6948" max="6948" width="13.5703125" style="130" customWidth="1"/>
    <col min="6949" max="6949" width="15.28515625" style="130" customWidth="1"/>
    <col min="6950" max="6950" width="17" style="130" customWidth="1"/>
    <col min="6951" max="6951" width="18.140625" style="130" customWidth="1"/>
    <col min="6952" max="6952" width="12.85546875" style="130" customWidth="1"/>
    <col min="6953" max="6953" width="17.5703125" style="130" customWidth="1"/>
    <col min="6954" max="6954" width="15.140625" style="130" customWidth="1"/>
    <col min="6955" max="6955" width="11.28515625" style="130" customWidth="1"/>
    <col min="6956" max="6956" width="11.85546875" style="130" customWidth="1"/>
    <col min="6957" max="6957" width="12" style="130" customWidth="1"/>
    <col min="6958" max="6958" width="9.140625" style="130"/>
    <col min="6959" max="6959" width="51.5703125" style="130" customWidth="1"/>
    <col min="6960" max="6960" width="14.28515625" style="130" customWidth="1"/>
    <col min="6961" max="6961" width="20.42578125" style="130" customWidth="1"/>
    <col min="6962" max="7168" width="9.140625" style="130"/>
    <col min="7169" max="7169" width="66.42578125" style="130" customWidth="1"/>
    <col min="7170" max="7170" width="75.140625" style="130" customWidth="1"/>
    <col min="7171" max="7171" width="14.42578125" style="130" customWidth="1"/>
    <col min="7172" max="7172" width="13.42578125" style="130" customWidth="1"/>
    <col min="7173" max="7173" width="15.5703125" style="130" customWidth="1"/>
    <col min="7174" max="7174" width="17.42578125" style="130" customWidth="1"/>
    <col min="7175" max="7175" width="11.85546875" style="130" customWidth="1"/>
    <col min="7176" max="7176" width="16" style="130" customWidth="1"/>
    <col min="7177" max="7177" width="13.140625" style="130" customWidth="1"/>
    <col min="7178" max="7178" width="12" style="130" customWidth="1"/>
    <col min="7179" max="7179" width="15.140625" style="130" customWidth="1"/>
    <col min="7180" max="7180" width="15.85546875" style="130" customWidth="1"/>
    <col min="7181" max="7181" width="14.85546875" style="130" customWidth="1"/>
    <col min="7182" max="7182" width="13.5703125" style="130" customWidth="1"/>
    <col min="7183" max="7183" width="15.28515625" style="130" customWidth="1"/>
    <col min="7184" max="7184" width="12.7109375" style="130" customWidth="1"/>
    <col min="7185" max="7185" width="14" style="130" customWidth="1"/>
    <col min="7186" max="7186" width="12.42578125" style="130" customWidth="1"/>
    <col min="7187" max="7187" width="13" style="130" customWidth="1"/>
    <col min="7188" max="7188" width="13.42578125" style="130" customWidth="1"/>
    <col min="7189" max="7189" width="17.7109375" style="130" customWidth="1"/>
    <col min="7190" max="7190" width="19.140625" style="130" customWidth="1"/>
    <col min="7191" max="7191" width="12.5703125" style="130" bestFit="1" customWidth="1"/>
    <col min="7192" max="7192" width="11.85546875" style="130" customWidth="1"/>
    <col min="7193" max="7193" width="13.140625" style="130" customWidth="1"/>
    <col min="7194" max="7194" width="14.140625" style="130" customWidth="1"/>
    <col min="7195" max="7195" width="14.7109375" style="130" customWidth="1"/>
    <col min="7196" max="7196" width="10.7109375" style="130" customWidth="1"/>
    <col min="7197" max="7197" width="12.42578125" style="130" customWidth="1"/>
    <col min="7198" max="7198" width="13.42578125" style="130" customWidth="1"/>
    <col min="7199" max="7199" width="13" style="130" customWidth="1"/>
    <col min="7200" max="7200" width="11.85546875" style="130" customWidth="1"/>
    <col min="7201" max="7201" width="12" style="130" customWidth="1"/>
    <col min="7202" max="7202" width="9.140625" style="130"/>
    <col min="7203" max="7203" width="12.7109375" style="130" customWidth="1"/>
    <col min="7204" max="7204" width="13.5703125" style="130" customWidth="1"/>
    <col min="7205" max="7205" width="15.28515625" style="130" customWidth="1"/>
    <col min="7206" max="7206" width="17" style="130" customWidth="1"/>
    <col min="7207" max="7207" width="18.140625" style="130" customWidth="1"/>
    <col min="7208" max="7208" width="12.85546875" style="130" customWidth="1"/>
    <col min="7209" max="7209" width="17.5703125" style="130" customWidth="1"/>
    <col min="7210" max="7210" width="15.140625" style="130" customWidth="1"/>
    <col min="7211" max="7211" width="11.28515625" style="130" customWidth="1"/>
    <col min="7212" max="7212" width="11.85546875" style="130" customWidth="1"/>
    <col min="7213" max="7213" width="12" style="130" customWidth="1"/>
    <col min="7214" max="7214" width="9.140625" style="130"/>
    <col min="7215" max="7215" width="51.5703125" style="130" customWidth="1"/>
    <col min="7216" max="7216" width="14.28515625" style="130" customWidth="1"/>
    <col min="7217" max="7217" width="20.42578125" style="130" customWidth="1"/>
    <col min="7218" max="7424" width="9.140625" style="130"/>
    <col min="7425" max="7425" width="66.42578125" style="130" customWidth="1"/>
    <col min="7426" max="7426" width="75.140625" style="130" customWidth="1"/>
    <col min="7427" max="7427" width="14.42578125" style="130" customWidth="1"/>
    <col min="7428" max="7428" width="13.42578125" style="130" customWidth="1"/>
    <col min="7429" max="7429" width="15.5703125" style="130" customWidth="1"/>
    <col min="7430" max="7430" width="17.42578125" style="130" customWidth="1"/>
    <col min="7431" max="7431" width="11.85546875" style="130" customWidth="1"/>
    <col min="7432" max="7432" width="16" style="130" customWidth="1"/>
    <col min="7433" max="7433" width="13.140625" style="130" customWidth="1"/>
    <col min="7434" max="7434" width="12" style="130" customWidth="1"/>
    <col min="7435" max="7435" width="15.140625" style="130" customWidth="1"/>
    <col min="7436" max="7436" width="15.85546875" style="130" customWidth="1"/>
    <col min="7437" max="7437" width="14.85546875" style="130" customWidth="1"/>
    <col min="7438" max="7438" width="13.5703125" style="130" customWidth="1"/>
    <col min="7439" max="7439" width="15.28515625" style="130" customWidth="1"/>
    <col min="7440" max="7440" width="12.7109375" style="130" customWidth="1"/>
    <col min="7441" max="7441" width="14" style="130" customWidth="1"/>
    <col min="7442" max="7442" width="12.42578125" style="130" customWidth="1"/>
    <col min="7443" max="7443" width="13" style="130" customWidth="1"/>
    <col min="7444" max="7444" width="13.42578125" style="130" customWidth="1"/>
    <col min="7445" max="7445" width="17.7109375" style="130" customWidth="1"/>
    <col min="7446" max="7446" width="19.140625" style="130" customWidth="1"/>
    <col min="7447" max="7447" width="12.5703125" style="130" bestFit="1" customWidth="1"/>
    <col min="7448" max="7448" width="11.85546875" style="130" customWidth="1"/>
    <col min="7449" max="7449" width="13.140625" style="130" customWidth="1"/>
    <col min="7450" max="7450" width="14.140625" style="130" customWidth="1"/>
    <col min="7451" max="7451" width="14.7109375" style="130" customWidth="1"/>
    <col min="7452" max="7452" width="10.7109375" style="130" customWidth="1"/>
    <col min="7453" max="7453" width="12.42578125" style="130" customWidth="1"/>
    <col min="7454" max="7454" width="13.42578125" style="130" customWidth="1"/>
    <col min="7455" max="7455" width="13" style="130" customWidth="1"/>
    <col min="7456" max="7456" width="11.85546875" style="130" customWidth="1"/>
    <col min="7457" max="7457" width="12" style="130" customWidth="1"/>
    <col min="7458" max="7458" width="9.140625" style="130"/>
    <col min="7459" max="7459" width="12.7109375" style="130" customWidth="1"/>
    <col min="7460" max="7460" width="13.5703125" style="130" customWidth="1"/>
    <col min="7461" max="7461" width="15.28515625" style="130" customWidth="1"/>
    <col min="7462" max="7462" width="17" style="130" customWidth="1"/>
    <col min="7463" max="7463" width="18.140625" style="130" customWidth="1"/>
    <col min="7464" max="7464" width="12.85546875" style="130" customWidth="1"/>
    <col min="7465" max="7465" width="17.5703125" style="130" customWidth="1"/>
    <col min="7466" max="7466" width="15.140625" style="130" customWidth="1"/>
    <col min="7467" max="7467" width="11.28515625" style="130" customWidth="1"/>
    <col min="7468" max="7468" width="11.85546875" style="130" customWidth="1"/>
    <col min="7469" max="7469" width="12" style="130" customWidth="1"/>
    <col min="7470" max="7470" width="9.140625" style="130"/>
    <col min="7471" max="7471" width="51.5703125" style="130" customWidth="1"/>
    <col min="7472" max="7472" width="14.28515625" style="130" customWidth="1"/>
    <col min="7473" max="7473" width="20.42578125" style="130" customWidth="1"/>
    <col min="7474" max="7680" width="9.140625" style="130"/>
    <col min="7681" max="7681" width="66.42578125" style="130" customWidth="1"/>
    <col min="7682" max="7682" width="75.140625" style="130" customWidth="1"/>
    <col min="7683" max="7683" width="14.42578125" style="130" customWidth="1"/>
    <col min="7684" max="7684" width="13.42578125" style="130" customWidth="1"/>
    <col min="7685" max="7685" width="15.5703125" style="130" customWidth="1"/>
    <col min="7686" max="7686" width="17.42578125" style="130" customWidth="1"/>
    <col min="7687" max="7687" width="11.85546875" style="130" customWidth="1"/>
    <col min="7688" max="7688" width="16" style="130" customWidth="1"/>
    <col min="7689" max="7689" width="13.140625" style="130" customWidth="1"/>
    <col min="7690" max="7690" width="12" style="130" customWidth="1"/>
    <col min="7691" max="7691" width="15.140625" style="130" customWidth="1"/>
    <col min="7692" max="7692" width="15.85546875" style="130" customWidth="1"/>
    <col min="7693" max="7693" width="14.85546875" style="130" customWidth="1"/>
    <col min="7694" max="7694" width="13.5703125" style="130" customWidth="1"/>
    <col min="7695" max="7695" width="15.28515625" style="130" customWidth="1"/>
    <col min="7696" max="7696" width="12.7109375" style="130" customWidth="1"/>
    <col min="7697" max="7697" width="14" style="130" customWidth="1"/>
    <col min="7698" max="7698" width="12.42578125" style="130" customWidth="1"/>
    <col min="7699" max="7699" width="13" style="130" customWidth="1"/>
    <col min="7700" max="7700" width="13.42578125" style="130" customWidth="1"/>
    <col min="7701" max="7701" width="17.7109375" style="130" customWidth="1"/>
    <col min="7702" max="7702" width="19.140625" style="130" customWidth="1"/>
    <col min="7703" max="7703" width="12.5703125" style="130" bestFit="1" customWidth="1"/>
    <col min="7704" max="7704" width="11.85546875" style="130" customWidth="1"/>
    <col min="7705" max="7705" width="13.140625" style="130" customWidth="1"/>
    <col min="7706" max="7706" width="14.140625" style="130" customWidth="1"/>
    <col min="7707" max="7707" width="14.7109375" style="130" customWidth="1"/>
    <col min="7708" max="7708" width="10.7109375" style="130" customWidth="1"/>
    <col min="7709" max="7709" width="12.42578125" style="130" customWidth="1"/>
    <col min="7710" max="7710" width="13.42578125" style="130" customWidth="1"/>
    <col min="7711" max="7711" width="13" style="130" customWidth="1"/>
    <col min="7712" max="7712" width="11.85546875" style="130" customWidth="1"/>
    <col min="7713" max="7713" width="12" style="130" customWidth="1"/>
    <col min="7714" max="7714" width="9.140625" style="130"/>
    <col min="7715" max="7715" width="12.7109375" style="130" customWidth="1"/>
    <col min="7716" max="7716" width="13.5703125" style="130" customWidth="1"/>
    <col min="7717" max="7717" width="15.28515625" style="130" customWidth="1"/>
    <col min="7718" max="7718" width="17" style="130" customWidth="1"/>
    <col min="7719" max="7719" width="18.140625" style="130" customWidth="1"/>
    <col min="7720" max="7720" width="12.85546875" style="130" customWidth="1"/>
    <col min="7721" max="7721" width="17.5703125" style="130" customWidth="1"/>
    <col min="7722" max="7722" width="15.140625" style="130" customWidth="1"/>
    <col min="7723" max="7723" width="11.28515625" style="130" customWidth="1"/>
    <col min="7724" max="7724" width="11.85546875" style="130" customWidth="1"/>
    <col min="7725" max="7725" width="12" style="130" customWidth="1"/>
    <col min="7726" max="7726" width="9.140625" style="130"/>
    <col min="7727" max="7727" width="51.5703125" style="130" customWidth="1"/>
    <col min="7728" max="7728" width="14.28515625" style="130" customWidth="1"/>
    <col min="7729" max="7729" width="20.42578125" style="130" customWidth="1"/>
    <col min="7730" max="7936" width="9.140625" style="130"/>
    <col min="7937" max="7937" width="66.42578125" style="130" customWidth="1"/>
    <col min="7938" max="7938" width="75.140625" style="130" customWidth="1"/>
    <col min="7939" max="7939" width="14.42578125" style="130" customWidth="1"/>
    <col min="7940" max="7940" width="13.42578125" style="130" customWidth="1"/>
    <col min="7941" max="7941" width="15.5703125" style="130" customWidth="1"/>
    <col min="7942" max="7942" width="17.42578125" style="130" customWidth="1"/>
    <col min="7943" max="7943" width="11.85546875" style="130" customWidth="1"/>
    <col min="7944" max="7944" width="16" style="130" customWidth="1"/>
    <col min="7945" max="7945" width="13.140625" style="130" customWidth="1"/>
    <col min="7946" max="7946" width="12" style="130" customWidth="1"/>
    <col min="7947" max="7947" width="15.140625" style="130" customWidth="1"/>
    <col min="7948" max="7948" width="15.85546875" style="130" customWidth="1"/>
    <col min="7949" max="7949" width="14.85546875" style="130" customWidth="1"/>
    <col min="7950" max="7950" width="13.5703125" style="130" customWidth="1"/>
    <col min="7951" max="7951" width="15.28515625" style="130" customWidth="1"/>
    <col min="7952" max="7952" width="12.7109375" style="130" customWidth="1"/>
    <col min="7953" max="7953" width="14" style="130" customWidth="1"/>
    <col min="7954" max="7954" width="12.42578125" style="130" customWidth="1"/>
    <col min="7955" max="7955" width="13" style="130" customWidth="1"/>
    <col min="7956" max="7956" width="13.42578125" style="130" customWidth="1"/>
    <col min="7957" max="7957" width="17.7109375" style="130" customWidth="1"/>
    <col min="7958" max="7958" width="19.140625" style="130" customWidth="1"/>
    <col min="7959" max="7959" width="12.5703125" style="130" bestFit="1" customWidth="1"/>
    <col min="7960" max="7960" width="11.85546875" style="130" customWidth="1"/>
    <col min="7961" max="7961" width="13.140625" style="130" customWidth="1"/>
    <col min="7962" max="7962" width="14.140625" style="130" customWidth="1"/>
    <col min="7963" max="7963" width="14.7109375" style="130" customWidth="1"/>
    <col min="7964" max="7964" width="10.7109375" style="130" customWidth="1"/>
    <col min="7965" max="7965" width="12.42578125" style="130" customWidth="1"/>
    <col min="7966" max="7966" width="13.42578125" style="130" customWidth="1"/>
    <col min="7967" max="7967" width="13" style="130" customWidth="1"/>
    <col min="7968" max="7968" width="11.85546875" style="130" customWidth="1"/>
    <col min="7969" max="7969" width="12" style="130" customWidth="1"/>
    <col min="7970" max="7970" width="9.140625" style="130"/>
    <col min="7971" max="7971" width="12.7109375" style="130" customWidth="1"/>
    <col min="7972" max="7972" width="13.5703125" style="130" customWidth="1"/>
    <col min="7973" max="7973" width="15.28515625" style="130" customWidth="1"/>
    <col min="7974" max="7974" width="17" style="130" customWidth="1"/>
    <col min="7975" max="7975" width="18.140625" style="130" customWidth="1"/>
    <col min="7976" max="7976" width="12.85546875" style="130" customWidth="1"/>
    <col min="7977" max="7977" width="17.5703125" style="130" customWidth="1"/>
    <col min="7978" max="7978" width="15.140625" style="130" customWidth="1"/>
    <col min="7979" max="7979" width="11.28515625" style="130" customWidth="1"/>
    <col min="7980" max="7980" width="11.85546875" style="130" customWidth="1"/>
    <col min="7981" max="7981" width="12" style="130" customWidth="1"/>
    <col min="7982" max="7982" width="9.140625" style="130"/>
    <col min="7983" max="7983" width="51.5703125" style="130" customWidth="1"/>
    <col min="7984" max="7984" width="14.28515625" style="130" customWidth="1"/>
    <col min="7985" max="7985" width="20.42578125" style="130" customWidth="1"/>
    <col min="7986" max="8192" width="9.140625" style="130"/>
    <col min="8193" max="8193" width="66.42578125" style="130" customWidth="1"/>
    <col min="8194" max="8194" width="75.140625" style="130" customWidth="1"/>
    <col min="8195" max="8195" width="14.42578125" style="130" customWidth="1"/>
    <col min="8196" max="8196" width="13.42578125" style="130" customWidth="1"/>
    <col min="8197" max="8197" width="15.5703125" style="130" customWidth="1"/>
    <col min="8198" max="8198" width="17.42578125" style="130" customWidth="1"/>
    <col min="8199" max="8199" width="11.85546875" style="130" customWidth="1"/>
    <col min="8200" max="8200" width="16" style="130" customWidth="1"/>
    <col min="8201" max="8201" width="13.140625" style="130" customWidth="1"/>
    <col min="8202" max="8202" width="12" style="130" customWidth="1"/>
    <col min="8203" max="8203" width="15.140625" style="130" customWidth="1"/>
    <col min="8204" max="8204" width="15.85546875" style="130" customWidth="1"/>
    <col min="8205" max="8205" width="14.85546875" style="130" customWidth="1"/>
    <col min="8206" max="8206" width="13.5703125" style="130" customWidth="1"/>
    <col min="8207" max="8207" width="15.28515625" style="130" customWidth="1"/>
    <col min="8208" max="8208" width="12.7109375" style="130" customWidth="1"/>
    <col min="8209" max="8209" width="14" style="130" customWidth="1"/>
    <col min="8210" max="8210" width="12.42578125" style="130" customWidth="1"/>
    <col min="8211" max="8211" width="13" style="130" customWidth="1"/>
    <col min="8212" max="8212" width="13.42578125" style="130" customWidth="1"/>
    <col min="8213" max="8213" width="17.7109375" style="130" customWidth="1"/>
    <col min="8214" max="8214" width="19.140625" style="130" customWidth="1"/>
    <col min="8215" max="8215" width="12.5703125" style="130" bestFit="1" customWidth="1"/>
    <col min="8216" max="8216" width="11.85546875" style="130" customWidth="1"/>
    <col min="8217" max="8217" width="13.140625" style="130" customWidth="1"/>
    <col min="8218" max="8218" width="14.140625" style="130" customWidth="1"/>
    <col min="8219" max="8219" width="14.7109375" style="130" customWidth="1"/>
    <col min="8220" max="8220" width="10.7109375" style="130" customWidth="1"/>
    <col min="8221" max="8221" width="12.42578125" style="130" customWidth="1"/>
    <col min="8222" max="8222" width="13.42578125" style="130" customWidth="1"/>
    <col min="8223" max="8223" width="13" style="130" customWidth="1"/>
    <col min="8224" max="8224" width="11.85546875" style="130" customWidth="1"/>
    <col min="8225" max="8225" width="12" style="130" customWidth="1"/>
    <col min="8226" max="8226" width="9.140625" style="130"/>
    <col min="8227" max="8227" width="12.7109375" style="130" customWidth="1"/>
    <col min="8228" max="8228" width="13.5703125" style="130" customWidth="1"/>
    <col min="8229" max="8229" width="15.28515625" style="130" customWidth="1"/>
    <col min="8230" max="8230" width="17" style="130" customWidth="1"/>
    <col min="8231" max="8231" width="18.140625" style="130" customWidth="1"/>
    <col min="8232" max="8232" width="12.85546875" style="130" customWidth="1"/>
    <col min="8233" max="8233" width="17.5703125" style="130" customWidth="1"/>
    <col min="8234" max="8234" width="15.140625" style="130" customWidth="1"/>
    <col min="8235" max="8235" width="11.28515625" style="130" customWidth="1"/>
    <col min="8236" max="8236" width="11.85546875" style="130" customWidth="1"/>
    <col min="8237" max="8237" width="12" style="130" customWidth="1"/>
    <col min="8238" max="8238" width="9.140625" style="130"/>
    <col min="8239" max="8239" width="51.5703125" style="130" customWidth="1"/>
    <col min="8240" max="8240" width="14.28515625" style="130" customWidth="1"/>
    <col min="8241" max="8241" width="20.42578125" style="130" customWidth="1"/>
    <col min="8242" max="8448" width="9.140625" style="130"/>
    <col min="8449" max="8449" width="66.42578125" style="130" customWidth="1"/>
    <col min="8450" max="8450" width="75.140625" style="130" customWidth="1"/>
    <col min="8451" max="8451" width="14.42578125" style="130" customWidth="1"/>
    <col min="8452" max="8452" width="13.42578125" style="130" customWidth="1"/>
    <col min="8453" max="8453" width="15.5703125" style="130" customWidth="1"/>
    <col min="8454" max="8454" width="17.42578125" style="130" customWidth="1"/>
    <col min="8455" max="8455" width="11.85546875" style="130" customWidth="1"/>
    <col min="8456" max="8456" width="16" style="130" customWidth="1"/>
    <col min="8457" max="8457" width="13.140625" style="130" customWidth="1"/>
    <col min="8458" max="8458" width="12" style="130" customWidth="1"/>
    <col min="8459" max="8459" width="15.140625" style="130" customWidth="1"/>
    <col min="8460" max="8460" width="15.85546875" style="130" customWidth="1"/>
    <col min="8461" max="8461" width="14.85546875" style="130" customWidth="1"/>
    <col min="8462" max="8462" width="13.5703125" style="130" customWidth="1"/>
    <col min="8463" max="8463" width="15.28515625" style="130" customWidth="1"/>
    <col min="8464" max="8464" width="12.7109375" style="130" customWidth="1"/>
    <col min="8465" max="8465" width="14" style="130" customWidth="1"/>
    <col min="8466" max="8466" width="12.42578125" style="130" customWidth="1"/>
    <col min="8467" max="8467" width="13" style="130" customWidth="1"/>
    <col min="8468" max="8468" width="13.42578125" style="130" customWidth="1"/>
    <col min="8469" max="8469" width="17.7109375" style="130" customWidth="1"/>
    <col min="8470" max="8470" width="19.140625" style="130" customWidth="1"/>
    <col min="8471" max="8471" width="12.5703125" style="130" bestFit="1" customWidth="1"/>
    <col min="8472" max="8472" width="11.85546875" style="130" customWidth="1"/>
    <col min="8473" max="8473" width="13.140625" style="130" customWidth="1"/>
    <col min="8474" max="8474" width="14.140625" style="130" customWidth="1"/>
    <col min="8475" max="8475" width="14.7109375" style="130" customWidth="1"/>
    <col min="8476" max="8476" width="10.7109375" style="130" customWidth="1"/>
    <col min="8477" max="8477" width="12.42578125" style="130" customWidth="1"/>
    <col min="8478" max="8478" width="13.42578125" style="130" customWidth="1"/>
    <col min="8479" max="8479" width="13" style="130" customWidth="1"/>
    <col min="8480" max="8480" width="11.85546875" style="130" customWidth="1"/>
    <col min="8481" max="8481" width="12" style="130" customWidth="1"/>
    <col min="8482" max="8482" width="9.140625" style="130"/>
    <col min="8483" max="8483" width="12.7109375" style="130" customWidth="1"/>
    <col min="8484" max="8484" width="13.5703125" style="130" customWidth="1"/>
    <col min="8485" max="8485" width="15.28515625" style="130" customWidth="1"/>
    <col min="8486" max="8486" width="17" style="130" customWidth="1"/>
    <col min="8487" max="8487" width="18.140625" style="130" customWidth="1"/>
    <col min="8488" max="8488" width="12.85546875" style="130" customWidth="1"/>
    <col min="8489" max="8489" width="17.5703125" style="130" customWidth="1"/>
    <col min="8490" max="8490" width="15.140625" style="130" customWidth="1"/>
    <col min="8491" max="8491" width="11.28515625" style="130" customWidth="1"/>
    <col min="8492" max="8492" width="11.85546875" style="130" customWidth="1"/>
    <col min="8493" max="8493" width="12" style="130" customWidth="1"/>
    <col min="8494" max="8494" width="9.140625" style="130"/>
    <col min="8495" max="8495" width="51.5703125" style="130" customWidth="1"/>
    <col min="8496" max="8496" width="14.28515625" style="130" customWidth="1"/>
    <col min="8497" max="8497" width="20.42578125" style="130" customWidth="1"/>
    <col min="8498" max="8704" width="9.140625" style="130"/>
    <col min="8705" max="8705" width="66.42578125" style="130" customWidth="1"/>
    <col min="8706" max="8706" width="75.140625" style="130" customWidth="1"/>
    <col min="8707" max="8707" width="14.42578125" style="130" customWidth="1"/>
    <col min="8708" max="8708" width="13.42578125" style="130" customWidth="1"/>
    <col min="8709" max="8709" width="15.5703125" style="130" customWidth="1"/>
    <col min="8710" max="8710" width="17.42578125" style="130" customWidth="1"/>
    <col min="8711" max="8711" width="11.85546875" style="130" customWidth="1"/>
    <col min="8712" max="8712" width="16" style="130" customWidth="1"/>
    <col min="8713" max="8713" width="13.140625" style="130" customWidth="1"/>
    <col min="8714" max="8714" width="12" style="130" customWidth="1"/>
    <col min="8715" max="8715" width="15.140625" style="130" customWidth="1"/>
    <col min="8716" max="8716" width="15.85546875" style="130" customWidth="1"/>
    <col min="8717" max="8717" width="14.85546875" style="130" customWidth="1"/>
    <col min="8718" max="8718" width="13.5703125" style="130" customWidth="1"/>
    <col min="8719" max="8719" width="15.28515625" style="130" customWidth="1"/>
    <col min="8720" max="8720" width="12.7109375" style="130" customWidth="1"/>
    <col min="8721" max="8721" width="14" style="130" customWidth="1"/>
    <col min="8722" max="8722" width="12.42578125" style="130" customWidth="1"/>
    <col min="8723" max="8723" width="13" style="130" customWidth="1"/>
    <col min="8724" max="8724" width="13.42578125" style="130" customWidth="1"/>
    <col min="8725" max="8725" width="17.7109375" style="130" customWidth="1"/>
    <col min="8726" max="8726" width="19.140625" style="130" customWidth="1"/>
    <col min="8727" max="8727" width="12.5703125" style="130" bestFit="1" customWidth="1"/>
    <col min="8728" max="8728" width="11.85546875" style="130" customWidth="1"/>
    <col min="8729" max="8729" width="13.140625" style="130" customWidth="1"/>
    <col min="8730" max="8730" width="14.140625" style="130" customWidth="1"/>
    <col min="8731" max="8731" width="14.7109375" style="130" customWidth="1"/>
    <col min="8732" max="8732" width="10.7109375" style="130" customWidth="1"/>
    <col min="8733" max="8733" width="12.42578125" style="130" customWidth="1"/>
    <col min="8734" max="8734" width="13.42578125" style="130" customWidth="1"/>
    <col min="8735" max="8735" width="13" style="130" customWidth="1"/>
    <col min="8736" max="8736" width="11.85546875" style="130" customWidth="1"/>
    <col min="8737" max="8737" width="12" style="130" customWidth="1"/>
    <col min="8738" max="8738" width="9.140625" style="130"/>
    <col min="8739" max="8739" width="12.7109375" style="130" customWidth="1"/>
    <col min="8740" max="8740" width="13.5703125" style="130" customWidth="1"/>
    <col min="8741" max="8741" width="15.28515625" style="130" customWidth="1"/>
    <col min="8742" max="8742" width="17" style="130" customWidth="1"/>
    <col min="8743" max="8743" width="18.140625" style="130" customWidth="1"/>
    <col min="8744" max="8744" width="12.85546875" style="130" customWidth="1"/>
    <col min="8745" max="8745" width="17.5703125" style="130" customWidth="1"/>
    <col min="8746" max="8746" width="15.140625" style="130" customWidth="1"/>
    <col min="8747" max="8747" width="11.28515625" style="130" customWidth="1"/>
    <col min="8748" max="8748" width="11.85546875" style="130" customWidth="1"/>
    <col min="8749" max="8749" width="12" style="130" customWidth="1"/>
    <col min="8750" max="8750" width="9.140625" style="130"/>
    <col min="8751" max="8751" width="51.5703125" style="130" customWidth="1"/>
    <col min="8752" max="8752" width="14.28515625" style="130" customWidth="1"/>
    <col min="8753" max="8753" width="20.42578125" style="130" customWidth="1"/>
    <col min="8754" max="8960" width="9.140625" style="130"/>
    <col min="8961" max="8961" width="66.42578125" style="130" customWidth="1"/>
    <col min="8962" max="8962" width="75.140625" style="130" customWidth="1"/>
    <col min="8963" max="8963" width="14.42578125" style="130" customWidth="1"/>
    <col min="8964" max="8964" width="13.42578125" style="130" customWidth="1"/>
    <col min="8965" max="8965" width="15.5703125" style="130" customWidth="1"/>
    <col min="8966" max="8966" width="17.42578125" style="130" customWidth="1"/>
    <col min="8967" max="8967" width="11.85546875" style="130" customWidth="1"/>
    <col min="8968" max="8968" width="16" style="130" customWidth="1"/>
    <col min="8969" max="8969" width="13.140625" style="130" customWidth="1"/>
    <col min="8970" max="8970" width="12" style="130" customWidth="1"/>
    <col min="8971" max="8971" width="15.140625" style="130" customWidth="1"/>
    <col min="8972" max="8972" width="15.85546875" style="130" customWidth="1"/>
    <col min="8973" max="8973" width="14.85546875" style="130" customWidth="1"/>
    <col min="8974" max="8974" width="13.5703125" style="130" customWidth="1"/>
    <col min="8975" max="8975" width="15.28515625" style="130" customWidth="1"/>
    <col min="8976" max="8976" width="12.7109375" style="130" customWidth="1"/>
    <col min="8977" max="8977" width="14" style="130" customWidth="1"/>
    <col min="8978" max="8978" width="12.42578125" style="130" customWidth="1"/>
    <col min="8979" max="8979" width="13" style="130" customWidth="1"/>
    <col min="8980" max="8980" width="13.42578125" style="130" customWidth="1"/>
    <col min="8981" max="8981" width="17.7109375" style="130" customWidth="1"/>
    <col min="8982" max="8982" width="19.140625" style="130" customWidth="1"/>
    <col min="8983" max="8983" width="12.5703125" style="130" bestFit="1" customWidth="1"/>
    <col min="8984" max="8984" width="11.85546875" style="130" customWidth="1"/>
    <col min="8985" max="8985" width="13.140625" style="130" customWidth="1"/>
    <col min="8986" max="8986" width="14.140625" style="130" customWidth="1"/>
    <col min="8987" max="8987" width="14.7109375" style="130" customWidth="1"/>
    <col min="8988" max="8988" width="10.7109375" style="130" customWidth="1"/>
    <col min="8989" max="8989" width="12.42578125" style="130" customWidth="1"/>
    <col min="8990" max="8990" width="13.42578125" style="130" customWidth="1"/>
    <col min="8991" max="8991" width="13" style="130" customWidth="1"/>
    <col min="8992" max="8992" width="11.85546875" style="130" customWidth="1"/>
    <col min="8993" max="8993" width="12" style="130" customWidth="1"/>
    <col min="8994" max="8994" width="9.140625" style="130"/>
    <col min="8995" max="8995" width="12.7109375" style="130" customWidth="1"/>
    <col min="8996" max="8996" width="13.5703125" style="130" customWidth="1"/>
    <col min="8997" max="8997" width="15.28515625" style="130" customWidth="1"/>
    <col min="8998" max="8998" width="17" style="130" customWidth="1"/>
    <col min="8999" max="8999" width="18.140625" style="130" customWidth="1"/>
    <col min="9000" max="9000" width="12.85546875" style="130" customWidth="1"/>
    <col min="9001" max="9001" width="17.5703125" style="130" customWidth="1"/>
    <col min="9002" max="9002" width="15.140625" style="130" customWidth="1"/>
    <col min="9003" max="9003" width="11.28515625" style="130" customWidth="1"/>
    <col min="9004" max="9004" width="11.85546875" style="130" customWidth="1"/>
    <col min="9005" max="9005" width="12" style="130" customWidth="1"/>
    <col min="9006" max="9006" width="9.140625" style="130"/>
    <col min="9007" max="9007" width="51.5703125" style="130" customWidth="1"/>
    <col min="9008" max="9008" width="14.28515625" style="130" customWidth="1"/>
    <col min="9009" max="9009" width="20.42578125" style="130" customWidth="1"/>
    <col min="9010" max="9216" width="9.140625" style="130"/>
    <col min="9217" max="9217" width="66.42578125" style="130" customWidth="1"/>
    <col min="9218" max="9218" width="75.140625" style="130" customWidth="1"/>
    <col min="9219" max="9219" width="14.42578125" style="130" customWidth="1"/>
    <col min="9220" max="9220" width="13.42578125" style="130" customWidth="1"/>
    <col min="9221" max="9221" width="15.5703125" style="130" customWidth="1"/>
    <col min="9222" max="9222" width="17.42578125" style="130" customWidth="1"/>
    <col min="9223" max="9223" width="11.85546875" style="130" customWidth="1"/>
    <col min="9224" max="9224" width="16" style="130" customWidth="1"/>
    <col min="9225" max="9225" width="13.140625" style="130" customWidth="1"/>
    <col min="9226" max="9226" width="12" style="130" customWidth="1"/>
    <col min="9227" max="9227" width="15.140625" style="130" customWidth="1"/>
    <col min="9228" max="9228" width="15.85546875" style="130" customWidth="1"/>
    <col min="9229" max="9229" width="14.85546875" style="130" customWidth="1"/>
    <col min="9230" max="9230" width="13.5703125" style="130" customWidth="1"/>
    <col min="9231" max="9231" width="15.28515625" style="130" customWidth="1"/>
    <col min="9232" max="9232" width="12.7109375" style="130" customWidth="1"/>
    <col min="9233" max="9233" width="14" style="130" customWidth="1"/>
    <col min="9234" max="9234" width="12.42578125" style="130" customWidth="1"/>
    <col min="9235" max="9235" width="13" style="130" customWidth="1"/>
    <col min="9236" max="9236" width="13.42578125" style="130" customWidth="1"/>
    <col min="9237" max="9237" width="17.7109375" style="130" customWidth="1"/>
    <col min="9238" max="9238" width="19.140625" style="130" customWidth="1"/>
    <col min="9239" max="9239" width="12.5703125" style="130" bestFit="1" customWidth="1"/>
    <col min="9240" max="9240" width="11.85546875" style="130" customWidth="1"/>
    <col min="9241" max="9241" width="13.140625" style="130" customWidth="1"/>
    <col min="9242" max="9242" width="14.140625" style="130" customWidth="1"/>
    <col min="9243" max="9243" width="14.7109375" style="130" customWidth="1"/>
    <col min="9244" max="9244" width="10.7109375" style="130" customWidth="1"/>
    <col min="9245" max="9245" width="12.42578125" style="130" customWidth="1"/>
    <col min="9246" max="9246" width="13.42578125" style="130" customWidth="1"/>
    <col min="9247" max="9247" width="13" style="130" customWidth="1"/>
    <col min="9248" max="9248" width="11.85546875" style="130" customWidth="1"/>
    <col min="9249" max="9249" width="12" style="130" customWidth="1"/>
    <col min="9250" max="9250" width="9.140625" style="130"/>
    <col min="9251" max="9251" width="12.7109375" style="130" customWidth="1"/>
    <col min="9252" max="9252" width="13.5703125" style="130" customWidth="1"/>
    <col min="9253" max="9253" width="15.28515625" style="130" customWidth="1"/>
    <col min="9254" max="9254" width="17" style="130" customWidth="1"/>
    <col min="9255" max="9255" width="18.140625" style="130" customWidth="1"/>
    <col min="9256" max="9256" width="12.85546875" style="130" customWidth="1"/>
    <col min="9257" max="9257" width="17.5703125" style="130" customWidth="1"/>
    <col min="9258" max="9258" width="15.140625" style="130" customWidth="1"/>
    <col min="9259" max="9259" width="11.28515625" style="130" customWidth="1"/>
    <col min="9260" max="9260" width="11.85546875" style="130" customWidth="1"/>
    <col min="9261" max="9261" width="12" style="130" customWidth="1"/>
    <col min="9262" max="9262" width="9.140625" style="130"/>
    <col min="9263" max="9263" width="51.5703125" style="130" customWidth="1"/>
    <col min="9264" max="9264" width="14.28515625" style="130" customWidth="1"/>
    <col min="9265" max="9265" width="20.42578125" style="130" customWidth="1"/>
    <col min="9266" max="9472" width="9.140625" style="130"/>
    <col min="9473" max="9473" width="66.42578125" style="130" customWidth="1"/>
    <col min="9474" max="9474" width="75.140625" style="130" customWidth="1"/>
    <col min="9475" max="9475" width="14.42578125" style="130" customWidth="1"/>
    <col min="9476" max="9476" width="13.42578125" style="130" customWidth="1"/>
    <col min="9477" max="9477" width="15.5703125" style="130" customWidth="1"/>
    <col min="9478" max="9478" width="17.42578125" style="130" customWidth="1"/>
    <col min="9479" max="9479" width="11.85546875" style="130" customWidth="1"/>
    <col min="9480" max="9480" width="16" style="130" customWidth="1"/>
    <col min="9481" max="9481" width="13.140625" style="130" customWidth="1"/>
    <col min="9482" max="9482" width="12" style="130" customWidth="1"/>
    <col min="9483" max="9483" width="15.140625" style="130" customWidth="1"/>
    <col min="9484" max="9484" width="15.85546875" style="130" customWidth="1"/>
    <col min="9485" max="9485" width="14.85546875" style="130" customWidth="1"/>
    <col min="9486" max="9486" width="13.5703125" style="130" customWidth="1"/>
    <col min="9487" max="9487" width="15.28515625" style="130" customWidth="1"/>
    <col min="9488" max="9488" width="12.7109375" style="130" customWidth="1"/>
    <col min="9489" max="9489" width="14" style="130" customWidth="1"/>
    <col min="9490" max="9490" width="12.42578125" style="130" customWidth="1"/>
    <col min="9491" max="9491" width="13" style="130" customWidth="1"/>
    <col min="9492" max="9492" width="13.42578125" style="130" customWidth="1"/>
    <col min="9493" max="9493" width="17.7109375" style="130" customWidth="1"/>
    <col min="9494" max="9494" width="19.140625" style="130" customWidth="1"/>
    <col min="9495" max="9495" width="12.5703125" style="130" bestFit="1" customWidth="1"/>
    <col min="9496" max="9496" width="11.85546875" style="130" customWidth="1"/>
    <col min="9497" max="9497" width="13.140625" style="130" customWidth="1"/>
    <col min="9498" max="9498" width="14.140625" style="130" customWidth="1"/>
    <col min="9499" max="9499" width="14.7109375" style="130" customWidth="1"/>
    <col min="9500" max="9500" width="10.7109375" style="130" customWidth="1"/>
    <col min="9501" max="9501" width="12.42578125" style="130" customWidth="1"/>
    <col min="9502" max="9502" width="13.42578125" style="130" customWidth="1"/>
    <col min="9503" max="9503" width="13" style="130" customWidth="1"/>
    <col min="9504" max="9504" width="11.85546875" style="130" customWidth="1"/>
    <col min="9505" max="9505" width="12" style="130" customWidth="1"/>
    <col min="9506" max="9506" width="9.140625" style="130"/>
    <col min="9507" max="9507" width="12.7109375" style="130" customWidth="1"/>
    <col min="9508" max="9508" width="13.5703125" style="130" customWidth="1"/>
    <col min="9509" max="9509" width="15.28515625" style="130" customWidth="1"/>
    <col min="9510" max="9510" width="17" style="130" customWidth="1"/>
    <col min="9511" max="9511" width="18.140625" style="130" customWidth="1"/>
    <col min="9512" max="9512" width="12.85546875" style="130" customWidth="1"/>
    <col min="9513" max="9513" width="17.5703125" style="130" customWidth="1"/>
    <col min="9514" max="9514" width="15.140625" style="130" customWidth="1"/>
    <col min="9515" max="9515" width="11.28515625" style="130" customWidth="1"/>
    <col min="9516" max="9516" width="11.85546875" style="130" customWidth="1"/>
    <col min="9517" max="9517" width="12" style="130" customWidth="1"/>
    <col min="9518" max="9518" width="9.140625" style="130"/>
    <col min="9519" max="9519" width="51.5703125" style="130" customWidth="1"/>
    <col min="9520" max="9520" width="14.28515625" style="130" customWidth="1"/>
    <col min="9521" max="9521" width="20.42578125" style="130" customWidth="1"/>
    <col min="9522" max="9728" width="9.140625" style="130"/>
    <col min="9729" max="9729" width="66.42578125" style="130" customWidth="1"/>
    <col min="9730" max="9730" width="75.140625" style="130" customWidth="1"/>
    <col min="9731" max="9731" width="14.42578125" style="130" customWidth="1"/>
    <col min="9732" max="9732" width="13.42578125" style="130" customWidth="1"/>
    <col min="9733" max="9733" width="15.5703125" style="130" customWidth="1"/>
    <col min="9734" max="9734" width="17.42578125" style="130" customWidth="1"/>
    <col min="9735" max="9735" width="11.85546875" style="130" customWidth="1"/>
    <col min="9736" max="9736" width="16" style="130" customWidth="1"/>
    <col min="9737" max="9737" width="13.140625" style="130" customWidth="1"/>
    <col min="9738" max="9738" width="12" style="130" customWidth="1"/>
    <col min="9739" max="9739" width="15.140625" style="130" customWidth="1"/>
    <col min="9740" max="9740" width="15.85546875" style="130" customWidth="1"/>
    <col min="9741" max="9741" width="14.85546875" style="130" customWidth="1"/>
    <col min="9742" max="9742" width="13.5703125" style="130" customWidth="1"/>
    <col min="9743" max="9743" width="15.28515625" style="130" customWidth="1"/>
    <col min="9744" max="9744" width="12.7109375" style="130" customWidth="1"/>
    <col min="9745" max="9745" width="14" style="130" customWidth="1"/>
    <col min="9746" max="9746" width="12.42578125" style="130" customWidth="1"/>
    <col min="9747" max="9747" width="13" style="130" customWidth="1"/>
    <col min="9748" max="9748" width="13.42578125" style="130" customWidth="1"/>
    <col min="9749" max="9749" width="17.7109375" style="130" customWidth="1"/>
    <col min="9750" max="9750" width="19.140625" style="130" customWidth="1"/>
    <col min="9751" max="9751" width="12.5703125" style="130" bestFit="1" customWidth="1"/>
    <col min="9752" max="9752" width="11.85546875" style="130" customWidth="1"/>
    <col min="9753" max="9753" width="13.140625" style="130" customWidth="1"/>
    <col min="9754" max="9754" width="14.140625" style="130" customWidth="1"/>
    <col min="9755" max="9755" width="14.7109375" style="130" customWidth="1"/>
    <col min="9756" max="9756" width="10.7109375" style="130" customWidth="1"/>
    <col min="9757" max="9757" width="12.42578125" style="130" customWidth="1"/>
    <col min="9758" max="9758" width="13.42578125" style="130" customWidth="1"/>
    <col min="9759" max="9759" width="13" style="130" customWidth="1"/>
    <col min="9760" max="9760" width="11.85546875" style="130" customWidth="1"/>
    <col min="9761" max="9761" width="12" style="130" customWidth="1"/>
    <col min="9762" max="9762" width="9.140625" style="130"/>
    <col min="9763" max="9763" width="12.7109375" style="130" customWidth="1"/>
    <col min="9764" max="9764" width="13.5703125" style="130" customWidth="1"/>
    <col min="9765" max="9765" width="15.28515625" style="130" customWidth="1"/>
    <col min="9766" max="9766" width="17" style="130" customWidth="1"/>
    <col min="9767" max="9767" width="18.140625" style="130" customWidth="1"/>
    <col min="9768" max="9768" width="12.85546875" style="130" customWidth="1"/>
    <col min="9769" max="9769" width="17.5703125" style="130" customWidth="1"/>
    <col min="9770" max="9770" width="15.140625" style="130" customWidth="1"/>
    <col min="9771" max="9771" width="11.28515625" style="130" customWidth="1"/>
    <col min="9772" max="9772" width="11.85546875" style="130" customWidth="1"/>
    <col min="9773" max="9773" width="12" style="130" customWidth="1"/>
    <col min="9774" max="9774" width="9.140625" style="130"/>
    <col min="9775" max="9775" width="51.5703125" style="130" customWidth="1"/>
    <col min="9776" max="9776" width="14.28515625" style="130" customWidth="1"/>
    <col min="9777" max="9777" width="20.42578125" style="130" customWidth="1"/>
    <col min="9778" max="9984" width="9.140625" style="130"/>
    <col min="9985" max="9985" width="66.42578125" style="130" customWidth="1"/>
    <col min="9986" max="9986" width="75.140625" style="130" customWidth="1"/>
    <col min="9987" max="9987" width="14.42578125" style="130" customWidth="1"/>
    <col min="9988" max="9988" width="13.42578125" style="130" customWidth="1"/>
    <col min="9989" max="9989" width="15.5703125" style="130" customWidth="1"/>
    <col min="9990" max="9990" width="17.42578125" style="130" customWidth="1"/>
    <col min="9991" max="9991" width="11.85546875" style="130" customWidth="1"/>
    <col min="9992" max="9992" width="16" style="130" customWidth="1"/>
    <col min="9993" max="9993" width="13.140625" style="130" customWidth="1"/>
    <col min="9994" max="9994" width="12" style="130" customWidth="1"/>
    <col min="9995" max="9995" width="15.140625" style="130" customWidth="1"/>
    <col min="9996" max="9996" width="15.85546875" style="130" customWidth="1"/>
    <col min="9997" max="9997" width="14.85546875" style="130" customWidth="1"/>
    <col min="9998" max="9998" width="13.5703125" style="130" customWidth="1"/>
    <col min="9999" max="9999" width="15.28515625" style="130" customWidth="1"/>
    <col min="10000" max="10000" width="12.7109375" style="130" customWidth="1"/>
    <col min="10001" max="10001" width="14" style="130" customWidth="1"/>
    <col min="10002" max="10002" width="12.42578125" style="130" customWidth="1"/>
    <col min="10003" max="10003" width="13" style="130" customWidth="1"/>
    <col min="10004" max="10004" width="13.42578125" style="130" customWidth="1"/>
    <col min="10005" max="10005" width="17.7109375" style="130" customWidth="1"/>
    <col min="10006" max="10006" width="19.140625" style="130" customWidth="1"/>
    <col min="10007" max="10007" width="12.5703125" style="130" bestFit="1" customWidth="1"/>
    <col min="10008" max="10008" width="11.85546875" style="130" customWidth="1"/>
    <col min="10009" max="10009" width="13.140625" style="130" customWidth="1"/>
    <col min="10010" max="10010" width="14.140625" style="130" customWidth="1"/>
    <col min="10011" max="10011" width="14.7109375" style="130" customWidth="1"/>
    <col min="10012" max="10012" width="10.7109375" style="130" customWidth="1"/>
    <col min="10013" max="10013" width="12.42578125" style="130" customWidth="1"/>
    <col min="10014" max="10014" width="13.42578125" style="130" customWidth="1"/>
    <col min="10015" max="10015" width="13" style="130" customWidth="1"/>
    <col min="10016" max="10016" width="11.85546875" style="130" customWidth="1"/>
    <col min="10017" max="10017" width="12" style="130" customWidth="1"/>
    <col min="10018" max="10018" width="9.140625" style="130"/>
    <col min="10019" max="10019" width="12.7109375" style="130" customWidth="1"/>
    <col min="10020" max="10020" width="13.5703125" style="130" customWidth="1"/>
    <col min="10021" max="10021" width="15.28515625" style="130" customWidth="1"/>
    <col min="10022" max="10022" width="17" style="130" customWidth="1"/>
    <col min="10023" max="10023" width="18.140625" style="130" customWidth="1"/>
    <col min="10024" max="10024" width="12.85546875" style="130" customWidth="1"/>
    <col min="10025" max="10025" width="17.5703125" style="130" customWidth="1"/>
    <col min="10026" max="10026" width="15.140625" style="130" customWidth="1"/>
    <col min="10027" max="10027" width="11.28515625" style="130" customWidth="1"/>
    <col min="10028" max="10028" width="11.85546875" style="130" customWidth="1"/>
    <col min="10029" max="10029" width="12" style="130" customWidth="1"/>
    <col min="10030" max="10030" width="9.140625" style="130"/>
    <col min="10031" max="10031" width="51.5703125" style="130" customWidth="1"/>
    <col min="10032" max="10032" width="14.28515625" style="130" customWidth="1"/>
    <col min="10033" max="10033" width="20.42578125" style="130" customWidth="1"/>
    <col min="10034" max="10240" width="9.140625" style="130"/>
    <col min="10241" max="10241" width="66.42578125" style="130" customWidth="1"/>
    <col min="10242" max="10242" width="75.140625" style="130" customWidth="1"/>
    <col min="10243" max="10243" width="14.42578125" style="130" customWidth="1"/>
    <col min="10244" max="10244" width="13.42578125" style="130" customWidth="1"/>
    <col min="10245" max="10245" width="15.5703125" style="130" customWidth="1"/>
    <col min="10246" max="10246" width="17.42578125" style="130" customWidth="1"/>
    <col min="10247" max="10247" width="11.85546875" style="130" customWidth="1"/>
    <col min="10248" max="10248" width="16" style="130" customWidth="1"/>
    <col min="10249" max="10249" width="13.140625" style="130" customWidth="1"/>
    <col min="10250" max="10250" width="12" style="130" customWidth="1"/>
    <col min="10251" max="10251" width="15.140625" style="130" customWidth="1"/>
    <col min="10252" max="10252" width="15.85546875" style="130" customWidth="1"/>
    <col min="10253" max="10253" width="14.85546875" style="130" customWidth="1"/>
    <col min="10254" max="10254" width="13.5703125" style="130" customWidth="1"/>
    <col min="10255" max="10255" width="15.28515625" style="130" customWidth="1"/>
    <col min="10256" max="10256" width="12.7109375" style="130" customWidth="1"/>
    <col min="10257" max="10257" width="14" style="130" customWidth="1"/>
    <col min="10258" max="10258" width="12.42578125" style="130" customWidth="1"/>
    <col min="10259" max="10259" width="13" style="130" customWidth="1"/>
    <col min="10260" max="10260" width="13.42578125" style="130" customWidth="1"/>
    <col min="10261" max="10261" width="17.7109375" style="130" customWidth="1"/>
    <col min="10262" max="10262" width="19.140625" style="130" customWidth="1"/>
    <col min="10263" max="10263" width="12.5703125" style="130" bestFit="1" customWidth="1"/>
    <col min="10264" max="10264" width="11.85546875" style="130" customWidth="1"/>
    <col min="10265" max="10265" width="13.140625" style="130" customWidth="1"/>
    <col min="10266" max="10266" width="14.140625" style="130" customWidth="1"/>
    <col min="10267" max="10267" width="14.7109375" style="130" customWidth="1"/>
    <col min="10268" max="10268" width="10.7109375" style="130" customWidth="1"/>
    <col min="10269" max="10269" width="12.42578125" style="130" customWidth="1"/>
    <col min="10270" max="10270" width="13.42578125" style="130" customWidth="1"/>
    <col min="10271" max="10271" width="13" style="130" customWidth="1"/>
    <col min="10272" max="10272" width="11.85546875" style="130" customWidth="1"/>
    <col min="10273" max="10273" width="12" style="130" customWidth="1"/>
    <col min="10274" max="10274" width="9.140625" style="130"/>
    <col min="10275" max="10275" width="12.7109375" style="130" customWidth="1"/>
    <col min="10276" max="10276" width="13.5703125" style="130" customWidth="1"/>
    <col min="10277" max="10277" width="15.28515625" style="130" customWidth="1"/>
    <col min="10278" max="10278" width="17" style="130" customWidth="1"/>
    <col min="10279" max="10279" width="18.140625" style="130" customWidth="1"/>
    <col min="10280" max="10280" width="12.85546875" style="130" customWidth="1"/>
    <col min="10281" max="10281" width="17.5703125" style="130" customWidth="1"/>
    <col min="10282" max="10282" width="15.140625" style="130" customWidth="1"/>
    <col min="10283" max="10283" width="11.28515625" style="130" customWidth="1"/>
    <col min="10284" max="10284" width="11.85546875" style="130" customWidth="1"/>
    <col min="10285" max="10285" width="12" style="130" customWidth="1"/>
    <col min="10286" max="10286" width="9.140625" style="130"/>
    <col min="10287" max="10287" width="51.5703125" style="130" customWidth="1"/>
    <col min="10288" max="10288" width="14.28515625" style="130" customWidth="1"/>
    <col min="10289" max="10289" width="20.42578125" style="130" customWidth="1"/>
    <col min="10290" max="10496" width="9.140625" style="130"/>
    <col min="10497" max="10497" width="66.42578125" style="130" customWidth="1"/>
    <col min="10498" max="10498" width="75.140625" style="130" customWidth="1"/>
    <col min="10499" max="10499" width="14.42578125" style="130" customWidth="1"/>
    <col min="10500" max="10500" width="13.42578125" style="130" customWidth="1"/>
    <col min="10501" max="10501" width="15.5703125" style="130" customWidth="1"/>
    <col min="10502" max="10502" width="17.42578125" style="130" customWidth="1"/>
    <col min="10503" max="10503" width="11.85546875" style="130" customWidth="1"/>
    <col min="10504" max="10504" width="16" style="130" customWidth="1"/>
    <col min="10505" max="10505" width="13.140625" style="130" customWidth="1"/>
    <col min="10506" max="10506" width="12" style="130" customWidth="1"/>
    <col min="10507" max="10507" width="15.140625" style="130" customWidth="1"/>
    <col min="10508" max="10508" width="15.85546875" style="130" customWidth="1"/>
    <col min="10509" max="10509" width="14.85546875" style="130" customWidth="1"/>
    <col min="10510" max="10510" width="13.5703125" style="130" customWidth="1"/>
    <col min="10511" max="10511" width="15.28515625" style="130" customWidth="1"/>
    <col min="10512" max="10512" width="12.7109375" style="130" customWidth="1"/>
    <col min="10513" max="10513" width="14" style="130" customWidth="1"/>
    <col min="10514" max="10514" width="12.42578125" style="130" customWidth="1"/>
    <col min="10515" max="10515" width="13" style="130" customWidth="1"/>
    <col min="10516" max="10516" width="13.42578125" style="130" customWidth="1"/>
    <col min="10517" max="10517" width="17.7109375" style="130" customWidth="1"/>
    <col min="10518" max="10518" width="19.140625" style="130" customWidth="1"/>
    <col min="10519" max="10519" width="12.5703125" style="130" bestFit="1" customWidth="1"/>
    <col min="10520" max="10520" width="11.85546875" style="130" customWidth="1"/>
    <col min="10521" max="10521" width="13.140625" style="130" customWidth="1"/>
    <col min="10522" max="10522" width="14.140625" style="130" customWidth="1"/>
    <col min="10523" max="10523" width="14.7109375" style="130" customWidth="1"/>
    <col min="10524" max="10524" width="10.7109375" style="130" customWidth="1"/>
    <col min="10525" max="10525" width="12.42578125" style="130" customWidth="1"/>
    <col min="10526" max="10526" width="13.42578125" style="130" customWidth="1"/>
    <col min="10527" max="10527" width="13" style="130" customWidth="1"/>
    <col min="10528" max="10528" width="11.85546875" style="130" customWidth="1"/>
    <col min="10529" max="10529" width="12" style="130" customWidth="1"/>
    <col min="10530" max="10530" width="9.140625" style="130"/>
    <col min="10531" max="10531" width="12.7109375" style="130" customWidth="1"/>
    <col min="10532" max="10532" width="13.5703125" style="130" customWidth="1"/>
    <col min="10533" max="10533" width="15.28515625" style="130" customWidth="1"/>
    <col min="10534" max="10534" width="17" style="130" customWidth="1"/>
    <col min="10535" max="10535" width="18.140625" style="130" customWidth="1"/>
    <col min="10536" max="10536" width="12.85546875" style="130" customWidth="1"/>
    <col min="10537" max="10537" width="17.5703125" style="130" customWidth="1"/>
    <col min="10538" max="10538" width="15.140625" style="130" customWidth="1"/>
    <col min="10539" max="10539" width="11.28515625" style="130" customWidth="1"/>
    <col min="10540" max="10540" width="11.85546875" style="130" customWidth="1"/>
    <col min="10541" max="10541" width="12" style="130" customWidth="1"/>
    <col min="10542" max="10542" width="9.140625" style="130"/>
    <col min="10543" max="10543" width="51.5703125" style="130" customWidth="1"/>
    <col min="10544" max="10544" width="14.28515625" style="130" customWidth="1"/>
    <col min="10545" max="10545" width="20.42578125" style="130" customWidth="1"/>
    <col min="10546" max="10752" width="9.140625" style="130"/>
    <col min="10753" max="10753" width="66.42578125" style="130" customWidth="1"/>
    <col min="10754" max="10754" width="75.140625" style="130" customWidth="1"/>
    <col min="10755" max="10755" width="14.42578125" style="130" customWidth="1"/>
    <col min="10756" max="10756" width="13.42578125" style="130" customWidth="1"/>
    <col min="10757" max="10757" width="15.5703125" style="130" customWidth="1"/>
    <col min="10758" max="10758" width="17.42578125" style="130" customWidth="1"/>
    <col min="10759" max="10759" width="11.85546875" style="130" customWidth="1"/>
    <col min="10760" max="10760" width="16" style="130" customWidth="1"/>
    <col min="10761" max="10761" width="13.140625" style="130" customWidth="1"/>
    <col min="10762" max="10762" width="12" style="130" customWidth="1"/>
    <col min="10763" max="10763" width="15.140625" style="130" customWidth="1"/>
    <col min="10764" max="10764" width="15.85546875" style="130" customWidth="1"/>
    <col min="10765" max="10765" width="14.85546875" style="130" customWidth="1"/>
    <col min="10766" max="10766" width="13.5703125" style="130" customWidth="1"/>
    <col min="10767" max="10767" width="15.28515625" style="130" customWidth="1"/>
    <col min="10768" max="10768" width="12.7109375" style="130" customWidth="1"/>
    <col min="10769" max="10769" width="14" style="130" customWidth="1"/>
    <col min="10770" max="10770" width="12.42578125" style="130" customWidth="1"/>
    <col min="10771" max="10771" width="13" style="130" customWidth="1"/>
    <col min="10772" max="10772" width="13.42578125" style="130" customWidth="1"/>
    <col min="10773" max="10773" width="17.7109375" style="130" customWidth="1"/>
    <col min="10774" max="10774" width="19.140625" style="130" customWidth="1"/>
    <col min="10775" max="10775" width="12.5703125" style="130" bestFit="1" customWidth="1"/>
    <col min="10776" max="10776" width="11.85546875" style="130" customWidth="1"/>
    <col min="10777" max="10777" width="13.140625" style="130" customWidth="1"/>
    <col min="10778" max="10778" width="14.140625" style="130" customWidth="1"/>
    <col min="10779" max="10779" width="14.7109375" style="130" customWidth="1"/>
    <col min="10780" max="10780" width="10.7109375" style="130" customWidth="1"/>
    <col min="10781" max="10781" width="12.42578125" style="130" customWidth="1"/>
    <col min="10782" max="10782" width="13.42578125" style="130" customWidth="1"/>
    <col min="10783" max="10783" width="13" style="130" customWidth="1"/>
    <col min="10784" max="10784" width="11.85546875" style="130" customWidth="1"/>
    <col min="10785" max="10785" width="12" style="130" customWidth="1"/>
    <col min="10786" max="10786" width="9.140625" style="130"/>
    <col min="10787" max="10787" width="12.7109375" style="130" customWidth="1"/>
    <col min="10788" max="10788" width="13.5703125" style="130" customWidth="1"/>
    <col min="10789" max="10789" width="15.28515625" style="130" customWidth="1"/>
    <col min="10790" max="10790" width="17" style="130" customWidth="1"/>
    <col min="10791" max="10791" width="18.140625" style="130" customWidth="1"/>
    <col min="10792" max="10792" width="12.85546875" style="130" customWidth="1"/>
    <col min="10793" max="10793" width="17.5703125" style="130" customWidth="1"/>
    <col min="10794" max="10794" width="15.140625" style="130" customWidth="1"/>
    <col min="10795" max="10795" width="11.28515625" style="130" customWidth="1"/>
    <col min="10796" max="10796" width="11.85546875" style="130" customWidth="1"/>
    <col min="10797" max="10797" width="12" style="130" customWidth="1"/>
    <col min="10798" max="10798" width="9.140625" style="130"/>
    <col min="10799" max="10799" width="51.5703125" style="130" customWidth="1"/>
    <col min="10800" max="10800" width="14.28515625" style="130" customWidth="1"/>
    <col min="10801" max="10801" width="20.42578125" style="130" customWidth="1"/>
    <col min="10802" max="11008" width="9.140625" style="130"/>
    <col min="11009" max="11009" width="66.42578125" style="130" customWidth="1"/>
    <col min="11010" max="11010" width="75.140625" style="130" customWidth="1"/>
    <col min="11011" max="11011" width="14.42578125" style="130" customWidth="1"/>
    <col min="11012" max="11012" width="13.42578125" style="130" customWidth="1"/>
    <col min="11013" max="11013" width="15.5703125" style="130" customWidth="1"/>
    <col min="11014" max="11014" width="17.42578125" style="130" customWidth="1"/>
    <col min="11015" max="11015" width="11.85546875" style="130" customWidth="1"/>
    <col min="11016" max="11016" width="16" style="130" customWidth="1"/>
    <col min="11017" max="11017" width="13.140625" style="130" customWidth="1"/>
    <col min="11018" max="11018" width="12" style="130" customWidth="1"/>
    <col min="11019" max="11019" width="15.140625" style="130" customWidth="1"/>
    <col min="11020" max="11020" width="15.85546875" style="130" customWidth="1"/>
    <col min="11021" max="11021" width="14.85546875" style="130" customWidth="1"/>
    <col min="11022" max="11022" width="13.5703125" style="130" customWidth="1"/>
    <col min="11023" max="11023" width="15.28515625" style="130" customWidth="1"/>
    <col min="11024" max="11024" width="12.7109375" style="130" customWidth="1"/>
    <col min="11025" max="11025" width="14" style="130" customWidth="1"/>
    <col min="11026" max="11026" width="12.42578125" style="130" customWidth="1"/>
    <col min="11027" max="11027" width="13" style="130" customWidth="1"/>
    <col min="11028" max="11028" width="13.42578125" style="130" customWidth="1"/>
    <col min="11029" max="11029" width="17.7109375" style="130" customWidth="1"/>
    <col min="11030" max="11030" width="19.140625" style="130" customWidth="1"/>
    <col min="11031" max="11031" width="12.5703125" style="130" bestFit="1" customWidth="1"/>
    <col min="11032" max="11032" width="11.85546875" style="130" customWidth="1"/>
    <col min="11033" max="11033" width="13.140625" style="130" customWidth="1"/>
    <col min="11034" max="11034" width="14.140625" style="130" customWidth="1"/>
    <col min="11035" max="11035" width="14.7109375" style="130" customWidth="1"/>
    <col min="11036" max="11036" width="10.7109375" style="130" customWidth="1"/>
    <col min="11037" max="11037" width="12.42578125" style="130" customWidth="1"/>
    <col min="11038" max="11038" width="13.42578125" style="130" customWidth="1"/>
    <col min="11039" max="11039" width="13" style="130" customWidth="1"/>
    <col min="11040" max="11040" width="11.85546875" style="130" customWidth="1"/>
    <col min="11041" max="11041" width="12" style="130" customWidth="1"/>
    <col min="11042" max="11042" width="9.140625" style="130"/>
    <col min="11043" max="11043" width="12.7109375" style="130" customWidth="1"/>
    <col min="11044" max="11044" width="13.5703125" style="130" customWidth="1"/>
    <col min="11045" max="11045" width="15.28515625" style="130" customWidth="1"/>
    <col min="11046" max="11046" width="17" style="130" customWidth="1"/>
    <col min="11047" max="11047" width="18.140625" style="130" customWidth="1"/>
    <col min="11048" max="11048" width="12.85546875" style="130" customWidth="1"/>
    <col min="11049" max="11049" width="17.5703125" style="130" customWidth="1"/>
    <col min="11050" max="11050" width="15.140625" style="130" customWidth="1"/>
    <col min="11051" max="11051" width="11.28515625" style="130" customWidth="1"/>
    <col min="11052" max="11052" width="11.85546875" style="130" customWidth="1"/>
    <col min="11053" max="11053" width="12" style="130" customWidth="1"/>
    <col min="11054" max="11054" width="9.140625" style="130"/>
    <col min="11055" max="11055" width="51.5703125" style="130" customWidth="1"/>
    <col min="11056" max="11056" width="14.28515625" style="130" customWidth="1"/>
    <col min="11057" max="11057" width="20.42578125" style="130" customWidth="1"/>
    <col min="11058" max="11264" width="9.140625" style="130"/>
    <col min="11265" max="11265" width="66.42578125" style="130" customWidth="1"/>
    <col min="11266" max="11266" width="75.140625" style="130" customWidth="1"/>
    <col min="11267" max="11267" width="14.42578125" style="130" customWidth="1"/>
    <col min="11268" max="11268" width="13.42578125" style="130" customWidth="1"/>
    <col min="11269" max="11269" width="15.5703125" style="130" customWidth="1"/>
    <col min="11270" max="11270" width="17.42578125" style="130" customWidth="1"/>
    <col min="11271" max="11271" width="11.85546875" style="130" customWidth="1"/>
    <col min="11272" max="11272" width="16" style="130" customWidth="1"/>
    <col min="11273" max="11273" width="13.140625" style="130" customWidth="1"/>
    <col min="11274" max="11274" width="12" style="130" customWidth="1"/>
    <col min="11275" max="11275" width="15.140625" style="130" customWidth="1"/>
    <col min="11276" max="11276" width="15.85546875" style="130" customWidth="1"/>
    <col min="11277" max="11277" width="14.85546875" style="130" customWidth="1"/>
    <col min="11278" max="11278" width="13.5703125" style="130" customWidth="1"/>
    <col min="11279" max="11279" width="15.28515625" style="130" customWidth="1"/>
    <col min="11280" max="11280" width="12.7109375" style="130" customWidth="1"/>
    <col min="11281" max="11281" width="14" style="130" customWidth="1"/>
    <col min="11282" max="11282" width="12.42578125" style="130" customWidth="1"/>
    <col min="11283" max="11283" width="13" style="130" customWidth="1"/>
    <col min="11284" max="11284" width="13.42578125" style="130" customWidth="1"/>
    <col min="11285" max="11285" width="17.7109375" style="130" customWidth="1"/>
    <col min="11286" max="11286" width="19.140625" style="130" customWidth="1"/>
    <col min="11287" max="11287" width="12.5703125" style="130" bestFit="1" customWidth="1"/>
    <col min="11288" max="11288" width="11.85546875" style="130" customWidth="1"/>
    <col min="11289" max="11289" width="13.140625" style="130" customWidth="1"/>
    <col min="11290" max="11290" width="14.140625" style="130" customWidth="1"/>
    <col min="11291" max="11291" width="14.7109375" style="130" customWidth="1"/>
    <col min="11292" max="11292" width="10.7109375" style="130" customWidth="1"/>
    <col min="11293" max="11293" width="12.42578125" style="130" customWidth="1"/>
    <col min="11294" max="11294" width="13.42578125" style="130" customWidth="1"/>
    <col min="11295" max="11295" width="13" style="130" customWidth="1"/>
    <col min="11296" max="11296" width="11.85546875" style="130" customWidth="1"/>
    <col min="11297" max="11297" width="12" style="130" customWidth="1"/>
    <col min="11298" max="11298" width="9.140625" style="130"/>
    <col min="11299" max="11299" width="12.7109375" style="130" customWidth="1"/>
    <col min="11300" max="11300" width="13.5703125" style="130" customWidth="1"/>
    <col min="11301" max="11301" width="15.28515625" style="130" customWidth="1"/>
    <col min="11302" max="11302" width="17" style="130" customWidth="1"/>
    <col min="11303" max="11303" width="18.140625" style="130" customWidth="1"/>
    <col min="11304" max="11304" width="12.85546875" style="130" customWidth="1"/>
    <col min="11305" max="11305" width="17.5703125" style="130" customWidth="1"/>
    <col min="11306" max="11306" width="15.140625" style="130" customWidth="1"/>
    <col min="11307" max="11307" width="11.28515625" style="130" customWidth="1"/>
    <col min="11308" max="11308" width="11.85546875" style="130" customWidth="1"/>
    <col min="11309" max="11309" width="12" style="130" customWidth="1"/>
    <col min="11310" max="11310" width="9.140625" style="130"/>
    <col min="11311" max="11311" width="51.5703125" style="130" customWidth="1"/>
    <col min="11312" max="11312" width="14.28515625" style="130" customWidth="1"/>
    <col min="11313" max="11313" width="20.42578125" style="130" customWidth="1"/>
    <col min="11314" max="11520" width="9.140625" style="130"/>
    <col min="11521" max="11521" width="66.42578125" style="130" customWidth="1"/>
    <col min="11522" max="11522" width="75.140625" style="130" customWidth="1"/>
    <col min="11523" max="11523" width="14.42578125" style="130" customWidth="1"/>
    <col min="11524" max="11524" width="13.42578125" style="130" customWidth="1"/>
    <col min="11525" max="11525" width="15.5703125" style="130" customWidth="1"/>
    <col min="11526" max="11526" width="17.42578125" style="130" customWidth="1"/>
    <col min="11527" max="11527" width="11.85546875" style="130" customWidth="1"/>
    <col min="11528" max="11528" width="16" style="130" customWidth="1"/>
    <col min="11529" max="11529" width="13.140625" style="130" customWidth="1"/>
    <col min="11530" max="11530" width="12" style="130" customWidth="1"/>
    <col min="11531" max="11531" width="15.140625" style="130" customWidth="1"/>
    <col min="11532" max="11532" width="15.85546875" style="130" customWidth="1"/>
    <col min="11533" max="11533" width="14.85546875" style="130" customWidth="1"/>
    <col min="11534" max="11534" width="13.5703125" style="130" customWidth="1"/>
    <col min="11535" max="11535" width="15.28515625" style="130" customWidth="1"/>
    <col min="11536" max="11536" width="12.7109375" style="130" customWidth="1"/>
    <col min="11537" max="11537" width="14" style="130" customWidth="1"/>
    <col min="11538" max="11538" width="12.42578125" style="130" customWidth="1"/>
    <col min="11539" max="11539" width="13" style="130" customWidth="1"/>
    <col min="11540" max="11540" width="13.42578125" style="130" customWidth="1"/>
    <col min="11541" max="11541" width="17.7109375" style="130" customWidth="1"/>
    <col min="11542" max="11542" width="19.140625" style="130" customWidth="1"/>
    <col min="11543" max="11543" width="12.5703125" style="130" bestFit="1" customWidth="1"/>
    <col min="11544" max="11544" width="11.85546875" style="130" customWidth="1"/>
    <col min="11545" max="11545" width="13.140625" style="130" customWidth="1"/>
    <col min="11546" max="11546" width="14.140625" style="130" customWidth="1"/>
    <col min="11547" max="11547" width="14.7109375" style="130" customWidth="1"/>
    <col min="11548" max="11548" width="10.7109375" style="130" customWidth="1"/>
    <col min="11549" max="11549" width="12.42578125" style="130" customWidth="1"/>
    <col min="11550" max="11550" width="13.42578125" style="130" customWidth="1"/>
    <col min="11551" max="11551" width="13" style="130" customWidth="1"/>
    <col min="11552" max="11552" width="11.85546875" style="130" customWidth="1"/>
    <col min="11553" max="11553" width="12" style="130" customWidth="1"/>
    <col min="11554" max="11554" width="9.140625" style="130"/>
    <col min="11555" max="11555" width="12.7109375" style="130" customWidth="1"/>
    <col min="11556" max="11556" width="13.5703125" style="130" customWidth="1"/>
    <col min="11557" max="11557" width="15.28515625" style="130" customWidth="1"/>
    <col min="11558" max="11558" width="17" style="130" customWidth="1"/>
    <col min="11559" max="11559" width="18.140625" style="130" customWidth="1"/>
    <col min="11560" max="11560" width="12.85546875" style="130" customWidth="1"/>
    <col min="11561" max="11561" width="17.5703125" style="130" customWidth="1"/>
    <col min="11562" max="11562" width="15.140625" style="130" customWidth="1"/>
    <col min="11563" max="11563" width="11.28515625" style="130" customWidth="1"/>
    <col min="11564" max="11564" width="11.85546875" style="130" customWidth="1"/>
    <col min="11565" max="11565" width="12" style="130" customWidth="1"/>
    <col min="11566" max="11566" width="9.140625" style="130"/>
    <col min="11567" max="11567" width="51.5703125" style="130" customWidth="1"/>
    <col min="11568" max="11568" width="14.28515625" style="130" customWidth="1"/>
    <col min="11569" max="11569" width="20.42578125" style="130" customWidth="1"/>
    <col min="11570" max="11776" width="9.140625" style="130"/>
    <col min="11777" max="11777" width="66.42578125" style="130" customWidth="1"/>
    <col min="11778" max="11778" width="75.140625" style="130" customWidth="1"/>
    <col min="11779" max="11779" width="14.42578125" style="130" customWidth="1"/>
    <col min="11780" max="11780" width="13.42578125" style="130" customWidth="1"/>
    <col min="11781" max="11781" width="15.5703125" style="130" customWidth="1"/>
    <col min="11782" max="11782" width="17.42578125" style="130" customWidth="1"/>
    <col min="11783" max="11783" width="11.85546875" style="130" customWidth="1"/>
    <col min="11784" max="11784" width="16" style="130" customWidth="1"/>
    <col min="11785" max="11785" width="13.140625" style="130" customWidth="1"/>
    <col min="11786" max="11786" width="12" style="130" customWidth="1"/>
    <col min="11787" max="11787" width="15.140625" style="130" customWidth="1"/>
    <col min="11788" max="11788" width="15.85546875" style="130" customWidth="1"/>
    <col min="11789" max="11789" width="14.85546875" style="130" customWidth="1"/>
    <col min="11790" max="11790" width="13.5703125" style="130" customWidth="1"/>
    <col min="11791" max="11791" width="15.28515625" style="130" customWidth="1"/>
    <col min="11792" max="11792" width="12.7109375" style="130" customWidth="1"/>
    <col min="11793" max="11793" width="14" style="130" customWidth="1"/>
    <col min="11794" max="11794" width="12.42578125" style="130" customWidth="1"/>
    <col min="11795" max="11795" width="13" style="130" customWidth="1"/>
    <col min="11796" max="11796" width="13.42578125" style="130" customWidth="1"/>
    <col min="11797" max="11797" width="17.7109375" style="130" customWidth="1"/>
    <col min="11798" max="11798" width="19.140625" style="130" customWidth="1"/>
    <col min="11799" max="11799" width="12.5703125" style="130" bestFit="1" customWidth="1"/>
    <col min="11800" max="11800" width="11.85546875" style="130" customWidth="1"/>
    <col min="11801" max="11801" width="13.140625" style="130" customWidth="1"/>
    <col min="11802" max="11802" width="14.140625" style="130" customWidth="1"/>
    <col min="11803" max="11803" width="14.7109375" style="130" customWidth="1"/>
    <col min="11804" max="11804" width="10.7109375" style="130" customWidth="1"/>
    <col min="11805" max="11805" width="12.42578125" style="130" customWidth="1"/>
    <col min="11806" max="11806" width="13.42578125" style="130" customWidth="1"/>
    <col min="11807" max="11807" width="13" style="130" customWidth="1"/>
    <col min="11808" max="11808" width="11.85546875" style="130" customWidth="1"/>
    <col min="11809" max="11809" width="12" style="130" customWidth="1"/>
    <col min="11810" max="11810" width="9.140625" style="130"/>
    <col min="11811" max="11811" width="12.7109375" style="130" customWidth="1"/>
    <col min="11812" max="11812" width="13.5703125" style="130" customWidth="1"/>
    <col min="11813" max="11813" width="15.28515625" style="130" customWidth="1"/>
    <col min="11814" max="11814" width="17" style="130" customWidth="1"/>
    <col min="11815" max="11815" width="18.140625" style="130" customWidth="1"/>
    <col min="11816" max="11816" width="12.85546875" style="130" customWidth="1"/>
    <col min="11817" max="11817" width="17.5703125" style="130" customWidth="1"/>
    <col min="11818" max="11818" width="15.140625" style="130" customWidth="1"/>
    <col min="11819" max="11819" width="11.28515625" style="130" customWidth="1"/>
    <col min="11820" max="11820" width="11.85546875" style="130" customWidth="1"/>
    <col min="11821" max="11821" width="12" style="130" customWidth="1"/>
    <col min="11822" max="11822" width="9.140625" style="130"/>
    <col min="11823" max="11823" width="51.5703125" style="130" customWidth="1"/>
    <col min="11824" max="11824" width="14.28515625" style="130" customWidth="1"/>
    <col min="11825" max="11825" width="20.42578125" style="130" customWidth="1"/>
    <col min="11826" max="12032" width="9.140625" style="130"/>
    <col min="12033" max="12033" width="66.42578125" style="130" customWidth="1"/>
    <col min="12034" max="12034" width="75.140625" style="130" customWidth="1"/>
    <col min="12035" max="12035" width="14.42578125" style="130" customWidth="1"/>
    <col min="12036" max="12036" width="13.42578125" style="130" customWidth="1"/>
    <col min="12037" max="12037" width="15.5703125" style="130" customWidth="1"/>
    <col min="12038" max="12038" width="17.42578125" style="130" customWidth="1"/>
    <col min="12039" max="12039" width="11.85546875" style="130" customWidth="1"/>
    <col min="12040" max="12040" width="16" style="130" customWidth="1"/>
    <col min="12041" max="12041" width="13.140625" style="130" customWidth="1"/>
    <col min="12042" max="12042" width="12" style="130" customWidth="1"/>
    <col min="12043" max="12043" width="15.140625" style="130" customWidth="1"/>
    <col min="12044" max="12044" width="15.85546875" style="130" customWidth="1"/>
    <col min="12045" max="12045" width="14.85546875" style="130" customWidth="1"/>
    <col min="12046" max="12046" width="13.5703125" style="130" customWidth="1"/>
    <col min="12047" max="12047" width="15.28515625" style="130" customWidth="1"/>
    <col min="12048" max="12048" width="12.7109375" style="130" customWidth="1"/>
    <col min="12049" max="12049" width="14" style="130" customWidth="1"/>
    <col min="12050" max="12050" width="12.42578125" style="130" customWidth="1"/>
    <col min="12051" max="12051" width="13" style="130" customWidth="1"/>
    <col min="12052" max="12052" width="13.42578125" style="130" customWidth="1"/>
    <col min="12053" max="12053" width="17.7109375" style="130" customWidth="1"/>
    <col min="12054" max="12054" width="19.140625" style="130" customWidth="1"/>
    <col min="12055" max="12055" width="12.5703125" style="130" bestFit="1" customWidth="1"/>
    <col min="12056" max="12056" width="11.85546875" style="130" customWidth="1"/>
    <col min="12057" max="12057" width="13.140625" style="130" customWidth="1"/>
    <col min="12058" max="12058" width="14.140625" style="130" customWidth="1"/>
    <col min="12059" max="12059" width="14.7109375" style="130" customWidth="1"/>
    <col min="12060" max="12060" width="10.7109375" style="130" customWidth="1"/>
    <col min="12061" max="12061" width="12.42578125" style="130" customWidth="1"/>
    <col min="12062" max="12062" width="13.42578125" style="130" customWidth="1"/>
    <col min="12063" max="12063" width="13" style="130" customWidth="1"/>
    <col min="12064" max="12064" width="11.85546875" style="130" customWidth="1"/>
    <col min="12065" max="12065" width="12" style="130" customWidth="1"/>
    <col min="12066" max="12066" width="9.140625" style="130"/>
    <col min="12067" max="12067" width="12.7109375" style="130" customWidth="1"/>
    <col min="12068" max="12068" width="13.5703125" style="130" customWidth="1"/>
    <col min="12069" max="12069" width="15.28515625" style="130" customWidth="1"/>
    <col min="12070" max="12070" width="17" style="130" customWidth="1"/>
    <col min="12071" max="12071" width="18.140625" style="130" customWidth="1"/>
    <col min="12072" max="12072" width="12.85546875" style="130" customWidth="1"/>
    <col min="12073" max="12073" width="17.5703125" style="130" customWidth="1"/>
    <col min="12074" max="12074" width="15.140625" style="130" customWidth="1"/>
    <col min="12075" max="12075" width="11.28515625" style="130" customWidth="1"/>
    <col min="12076" max="12076" width="11.85546875" style="130" customWidth="1"/>
    <col min="12077" max="12077" width="12" style="130" customWidth="1"/>
    <col min="12078" max="12078" width="9.140625" style="130"/>
    <col min="12079" max="12079" width="51.5703125" style="130" customWidth="1"/>
    <col min="12080" max="12080" width="14.28515625" style="130" customWidth="1"/>
    <col min="12081" max="12081" width="20.42578125" style="130" customWidth="1"/>
    <col min="12082" max="12288" width="9.140625" style="130"/>
    <col min="12289" max="12289" width="66.42578125" style="130" customWidth="1"/>
    <col min="12290" max="12290" width="75.140625" style="130" customWidth="1"/>
    <col min="12291" max="12291" width="14.42578125" style="130" customWidth="1"/>
    <col min="12292" max="12292" width="13.42578125" style="130" customWidth="1"/>
    <col min="12293" max="12293" width="15.5703125" style="130" customWidth="1"/>
    <col min="12294" max="12294" width="17.42578125" style="130" customWidth="1"/>
    <col min="12295" max="12295" width="11.85546875" style="130" customWidth="1"/>
    <col min="12296" max="12296" width="16" style="130" customWidth="1"/>
    <col min="12297" max="12297" width="13.140625" style="130" customWidth="1"/>
    <col min="12298" max="12298" width="12" style="130" customWidth="1"/>
    <col min="12299" max="12299" width="15.140625" style="130" customWidth="1"/>
    <col min="12300" max="12300" width="15.85546875" style="130" customWidth="1"/>
    <col min="12301" max="12301" width="14.85546875" style="130" customWidth="1"/>
    <col min="12302" max="12302" width="13.5703125" style="130" customWidth="1"/>
    <col min="12303" max="12303" width="15.28515625" style="130" customWidth="1"/>
    <col min="12304" max="12304" width="12.7109375" style="130" customWidth="1"/>
    <col min="12305" max="12305" width="14" style="130" customWidth="1"/>
    <col min="12306" max="12306" width="12.42578125" style="130" customWidth="1"/>
    <col min="12307" max="12307" width="13" style="130" customWidth="1"/>
    <col min="12308" max="12308" width="13.42578125" style="130" customWidth="1"/>
    <col min="12309" max="12309" width="17.7109375" style="130" customWidth="1"/>
    <col min="12310" max="12310" width="19.140625" style="130" customWidth="1"/>
    <col min="12311" max="12311" width="12.5703125" style="130" bestFit="1" customWidth="1"/>
    <col min="12312" max="12312" width="11.85546875" style="130" customWidth="1"/>
    <col min="12313" max="12313" width="13.140625" style="130" customWidth="1"/>
    <col min="12314" max="12314" width="14.140625" style="130" customWidth="1"/>
    <col min="12315" max="12315" width="14.7109375" style="130" customWidth="1"/>
    <col min="12316" max="12316" width="10.7109375" style="130" customWidth="1"/>
    <col min="12317" max="12317" width="12.42578125" style="130" customWidth="1"/>
    <col min="12318" max="12318" width="13.42578125" style="130" customWidth="1"/>
    <col min="12319" max="12319" width="13" style="130" customWidth="1"/>
    <col min="12320" max="12320" width="11.85546875" style="130" customWidth="1"/>
    <col min="12321" max="12321" width="12" style="130" customWidth="1"/>
    <col min="12322" max="12322" width="9.140625" style="130"/>
    <col min="12323" max="12323" width="12.7109375" style="130" customWidth="1"/>
    <col min="12324" max="12324" width="13.5703125" style="130" customWidth="1"/>
    <col min="12325" max="12325" width="15.28515625" style="130" customWidth="1"/>
    <col min="12326" max="12326" width="17" style="130" customWidth="1"/>
    <col min="12327" max="12327" width="18.140625" style="130" customWidth="1"/>
    <col min="12328" max="12328" width="12.85546875" style="130" customWidth="1"/>
    <col min="12329" max="12329" width="17.5703125" style="130" customWidth="1"/>
    <col min="12330" max="12330" width="15.140625" style="130" customWidth="1"/>
    <col min="12331" max="12331" width="11.28515625" style="130" customWidth="1"/>
    <col min="12332" max="12332" width="11.85546875" style="130" customWidth="1"/>
    <col min="12333" max="12333" width="12" style="130" customWidth="1"/>
    <col min="12334" max="12334" width="9.140625" style="130"/>
    <col min="12335" max="12335" width="51.5703125" style="130" customWidth="1"/>
    <col min="12336" max="12336" width="14.28515625" style="130" customWidth="1"/>
    <col min="12337" max="12337" width="20.42578125" style="130" customWidth="1"/>
    <col min="12338" max="12544" width="9.140625" style="130"/>
    <col min="12545" max="12545" width="66.42578125" style="130" customWidth="1"/>
    <col min="12546" max="12546" width="75.140625" style="130" customWidth="1"/>
    <col min="12547" max="12547" width="14.42578125" style="130" customWidth="1"/>
    <col min="12548" max="12548" width="13.42578125" style="130" customWidth="1"/>
    <col min="12549" max="12549" width="15.5703125" style="130" customWidth="1"/>
    <col min="12550" max="12550" width="17.42578125" style="130" customWidth="1"/>
    <col min="12551" max="12551" width="11.85546875" style="130" customWidth="1"/>
    <col min="12552" max="12552" width="16" style="130" customWidth="1"/>
    <col min="12553" max="12553" width="13.140625" style="130" customWidth="1"/>
    <col min="12554" max="12554" width="12" style="130" customWidth="1"/>
    <col min="12555" max="12555" width="15.140625" style="130" customWidth="1"/>
    <col min="12556" max="12556" width="15.85546875" style="130" customWidth="1"/>
    <col min="12557" max="12557" width="14.85546875" style="130" customWidth="1"/>
    <col min="12558" max="12558" width="13.5703125" style="130" customWidth="1"/>
    <col min="12559" max="12559" width="15.28515625" style="130" customWidth="1"/>
    <col min="12560" max="12560" width="12.7109375" style="130" customWidth="1"/>
    <col min="12561" max="12561" width="14" style="130" customWidth="1"/>
    <col min="12562" max="12562" width="12.42578125" style="130" customWidth="1"/>
    <col min="12563" max="12563" width="13" style="130" customWidth="1"/>
    <col min="12564" max="12564" width="13.42578125" style="130" customWidth="1"/>
    <col min="12565" max="12565" width="17.7109375" style="130" customWidth="1"/>
    <col min="12566" max="12566" width="19.140625" style="130" customWidth="1"/>
    <col min="12567" max="12567" width="12.5703125" style="130" bestFit="1" customWidth="1"/>
    <col min="12568" max="12568" width="11.85546875" style="130" customWidth="1"/>
    <col min="12569" max="12569" width="13.140625" style="130" customWidth="1"/>
    <col min="12570" max="12570" width="14.140625" style="130" customWidth="1"/>
    <col min="12571" max="12571" width="14.7109375" style="130" customWidth="1"/>
    <col min="12572" max="12572" width="10.7109375" style="130" customWidth="1"/>
    <col min="12573" max="12573" width="12.42578125" style="130" customWidth="1"/>
    <col min="12574" max="12574" width="13.42578125" style="130" customWidth="1"/>
    <col min="12575" max="12575" width="13" style="130" customWidth="1"/>
    <col min="12576" max="12576" width="11.85546875" style="130" customWidth="1"/>
    <col min="12577" max="12577" width="12" style="130" customWidth="1"/>
    <col min="12578" max="12578" width="9.140625" style="130"/>
    <col min="12579" max="12579" width="12.7109375" style="130" customWidth="1"/>
    <col min="12580" max="12580" width="13.5703125" style="130" customWidth="1"/>
    <col min="12581" max="12581" width="15.28515625" style="130" customWidth="1"/>
    <col min="12582" max="12582" width="17" style="130" customWidth="1"/>
    <col min="12583" max="12583" width="18.140625" style="130" customWidth="1"/>
    <col min="12584" max="12584" width="12.85546875" style="130" customWidth="1"/>
    <col min="12585" max="12585" width="17.5703125" style="130" customWidth="1"/>
    <col min="12586" max="12586" width="15.140625" style="130" customWidth="1"/>
    <col min="12587" max="12587" width="11.28515625" style="130" customWidth="1"/>
    <col min="12588" max="12588" width="11.85546875" style="130" customWidth="1"/>
    <col min="12589" max="12589" width="12" style="130" customWidth="1"/>
    <col min="12590" max="12590" width="9.140625" style="130"/>
    <col min="12591" max="12591" width="51.5703125" style="130" customWidth="1"/>
    <col min="12592" max="12592" width="14.28515625" style="130" customWidth="1"/>
    <col min="12593" max="12593" width="20.42578125" style="130" customWidth="1"/>
    <col min="12594" max="12800" width="9.140625" style="130"/>
    <col min="12801" max="12801" width="66.42578125" style="130" customWidth="1"/>
    <col min="12802" max="12802" width="75.140625" style="130" customWidth="1"/>
    <col min="12803" max="12803" width="14.42578125" style="130" customWidth="1"/>
    <col min="12804" max="12804" width="13.42578125" style="130" customWidth="1"/>
    <col min="12805" max="12805" width="15.5703125" style="130" customWidth="1"/>
    <col min="12806" max="12806" width="17.42578125" style="130" customWidth="1"/>
    <col min="12807" max="12807" width="11.85546875" style="130" customWidth="1"/>
    <col min="12808" max="12808" width="16" style="130" customWidth="1"/>
    <col min="12809" max="12809" width="13.140625" style="130" customWidth="1"/>
    <col min="12810" max="12810" width="12" style="130" customWidth="1"/>
    <col min="12811" max="12811" width="15.140625" style="130" customWidth="1"/>
    <col min="12812" max="12812" width="15.85546875" style="130" customWidth="1"/>
    <col min="12813" max="12813" width="14.85546875" style="130" customWidth="1"/>
    <col min="12814" max="12814" width="13.5703125" style="130" customWidth="1"/>
    <col min="12815" max="12815" width="15.28515625" style="130" customWidth="1"/>
    <col min="12816" max="12816" width="12.7109375" style="130" customWidth="1"/>
    <col min="12817" max="12817" width="14" style="130" customWidth="1"/>
    <col min="12818" max="12818" width="12.42578125" style="130" customWidth="1"/>
    <col min="12819" max="12819" width="13" style="130" customWidth="1"/>
    <col min="12820" max="12820" width="13.42578125" style="130" customWidth="1"/>
    <col min="12821" max="12821" width="17.7109375" style="130" customWidth="1"/>
    <col min="12822" max="12822" width="19.140625" style="130" customWidth="1"/>
    <col min="12823" max="12823" width="12.5703125" style="130" bestFit="1" customWidth="1"/>
    <col min="12824" max="12824" width="11.85546875" style="130" customWidth="1"/>
    <col min="12825" max="12825" width="13.140625" style="130" customWidth="1"/>
    <col min="12826" max="12826" width="14.140625" style="130" customWidth="1"/>
    <col min="12827" max="12827" width="14.7109375" style="130" customWidth="1"/>
    <col min="12828" max="12828" width="10.7109375" style="130" customWidth="1"/>
    <col min="12829" max="12829" width="12.42578125" style="130" customWidth="1"/>
    <col min="12830" max="12830" width="13.42578125" style="130" customWidth="1"/>
    <col min="12831" max="12831" width="13" style="130" customWidth="1"/>
    <col min="12832" max="12832" width="11.85546875" style="130" customWidth="1"/>
    <col min="12833" max="12833" width="12" style="130" customWidth="1"/>
    <col min="12834" max="12834" width="9.140625" style="130"/>
    <col min="12835" max="12835" width="12.7109375" style="130" customWidth="1"/>
    <col min="12836" max="12836" width="13.5703125" style="130" customWidth="1"/>
    <col min="12837" max="12837" width="15.28515625" style="130" customWidth="1"/>
    <col min="12838" max="12838" width="17" style="130" customWidth="1"/>
    <col min="12839" max="12839" width="18.140625" style="130" customWidth="1"/>
    <col min="12840" max="12840" width="12.85546875" style="130" customWidth="1"/>
    <col min="12841" max="12841" width="17.5703125" style="130" customWidth="1"/>
    <col min="12842" max="12842" width="15.140625" style="130" customWidth="1"/>
    <col min="12843" max="12843" width="11.28515625" style="130" customWidth="1"/>
    <col min="12844" max="12844" width="11.85546875" style="130" customWidth="1"/>
    <col min="12845" max="12845" width="12" style="130" customWidth="1"/>
    <col min="12846" max="12846" width="9.140625" style="130"/>
    <col min="12847" max="12847" width="51.5703125" style="130" customWidth="1"/>
    <col min="12848" max="12848" width="14.28515625" style="130" customWidth="1"/>
    <col min="12849" max="12849" width="20.42578125" style="130" customWidth="1"/>
    <col min="12850" max="13056" width="9.140625" style="130"/>
    <col min="13057" max="13057" width="66.42578125" style="130" customWidth="1"/>
    <col min="13058" max="13058" width="75.140625" style="130" customWidth="1"/>
    <col min="13059" max="13059" width="14.42578125" style="130" customWidth="1"/>
    <col min="13060" max="13060" width="13.42578125" style="130" customWidth="1"/>
    <col min="13061" max="13061" width="15.5703125" style="130" customWidth="1"/>
    <col min="13062" max="13062" width="17.42578125" style="130" customWidth="1"/>
    <col min="13063" max="13063" width="11.85546875" style="130" customWidth="1"/>
    <col min="13064" max="13064" width="16" style="130" customWidth="1"/>
    <col min="13065" max="13065" width="13.140625" style="130" customWidth="1"/>
    <col min="13066" max="13066" width="12" style="130" customWidth="1"/>
    <col min="13067" max="13067" width="15.140625" style="130" customWidth="1"/>
    <col min="13068" max="13068" width="15.85546875" style="130" customWidth="1"/>
    <col min="13069" max="13069" width="14.85546875" style="130" customWidth="1"/>
    <col min="13070" max="13070" width="13.5703125" style="130" customWidth="1"/>
    <col min="13071" max="13071" width="15.28515625" style="130" customWidth="1"/>
    <col min="13072" max="13072" width="12.7109375" style="130" customWidth="1"/>
    <col min="13073" max="13073" width="14" style="130" customWidth="1"/>
    <col min="13074" max="13074" width="12.42578125" style="130" customWidth="1"/>
    <col min="13075" max="13075" width="13" style="130" customWidth="1"/>
    <col min="13076" max="13076" width="13.42578125" style="130" customWidth="1"/>
    <col min="13077" max="13077" width="17.7109375" style="130" customWidth="1"/>
    <col min="13078" max="13078" width="19.140625" style="130" customWidth="1"/>
    <col min="13079" max="13079" width="12.5703125" style="130" bestFit="1" customWidth="1"/>
    <col min="13080" max="13080" width="11.85546875" style="130" customWidth="1"/>
    <col min="13081" max="13081" width="13.140625" style="130" customWidth="1"/>
    <col min="13082" max="13082" width="14.140625" style="130" customWidth="1"/>
    <col min="13083" max="13083" width="14.7109375" style="130" customWidth="1"/>
    <col min="13084" max="13084" width="10.7109375" style="130" customWidth="1"/>
    <col min="13085" max="13085" width="12.42578125" style="130" customWidth="1"/>
    <col min="13086" max="13086" width="13.42578125" style="130" customWidth="1"/>
    <col min="13087" max="13087" width="13" style="130" customWidth="1"/>
    <col min="13088" max="13088" width="11.85546875" style="130" customWidth="1"/>
    <col min="13089" max="13089" width="12" style="130" customWidth="1"/>
    <col min="13090" max="13090" width="9.140625" style="130"/>
    <col min="13091" max="13091" width="12.7109375" style="130" customWidth="1"/>
    <col min="13092" max="13092" width="13.5703125" style="130" customWidth="1"/>
    <col min="13093" max="13093" width="15.28515625" style="130" customWidth="1"/>
    <col min="13094" max="13094" width="17" style="130" customWidth="1"/>
    <col min="13095" max="13095" width="18.140625" style="130" customWidth="1"/>
    <col min="13096" max="13096" width="12.85546875" style="130" customWidth="1"/>
    <col min="13097" max="13097" width="17.5703125" style="130" customWidth="1"/>
    <col min="13098" max="13098" width="15.140625" style="130" customWidth="1"/>
    <col min="13099" max="13099" width="11.28515625" style="130" customWidth="1"/>
    <col min="13100" max="13100" width="11.85546875" style="130" customWidth="1"/>
    <col min="13101" max="13101" width="12" style="130" customWidth="1"/>
    <col min="13102" max="13102" width="9.140625" style="130"/>
    <col min="13103" max="13103" width="51.5703125" style="130" customWidth="1"/>
    <col min="13104" max="13104" width="14.28515625" style="130" customWidth="1"/>
    <col min="13105" max="13105" width="20.42578125" style="130" customWidth="1"/>
    <col min="13106" max="13312" width="9.140625" style="130"/>
    <col min="13313" max="13313" width="66.42578125" style="130" customWidth="1"/>
    <col min="13314" max="13314" width="75.140625" style="130" customWidth="1"/>
    <col min="13315" max="13315" width="14.42578125" style="130" customWidth="1"/>
    <col min="13316" max="13316" width="13.42578125" style="130" customWidth="1"/>
    <col min="13317" max="13317" width="15.5703125" style="130" customWidth="1"/>
    <col min="13318" max="13318" width="17.42578125" style="130" customWidth="1"/>
    <col min="13319" max="13319" width="11.85546875" style="130" customWidth="1"/>
    <col min="13320" max="13320" width="16" style="130" customWidth="1"/>
    <col min="13321" max="13321" width="13.140625" style="130" customWidth="1"/>
    <col min="13322" max="13322" width="12" style="130" customWidth="1"/>
    <col min="13323" max="13323" width="15.140625" style="130" customWidth="1"/>
    <col min="13324" max="13324" width="15.85546875" style="130" customWidth="1"/>
    <col min="13325" max="13325" width="14.85546875" style="130" customWidth="1"/>
    <col min="13326" max="13326" width="13.5703125" style="130" customWidth="1"/>
    <col min="13327" max="13327" width="15.28515625" style="130" customWidth="1"/>
    <col min="13328" max="13328" width="12.7109375" style="130" customWidth="1"/>
    <col min="13329" max="13329" width="14" style="130" customWidth="1"/>
    <col min="13330" max="13330" width="12.42578125" style="130" customWidth="1"/>
    <col min="13331" max="13331" width="13" style="130" customWidth="1"/>
    <col min="13332" max="13332" width="13.42578125" style="130" customWidth="1"/>
    <col min="13333" max="13333" width="17.7109375" style="130" customWidth="1"/>
    <col min="13334" max="13334" width="19.140625" style="130" customWidth="1"/>
    <col min="13335" max="13335" width="12.5703125" style="130" bestFit="1" customWidth="1"/>
    <col min="13336" max="13336" width="11.85546875" style="130" customWidth="1"/>
    <col min="13337" max="13337" width="13.140625" style="130" customWidth="1"/>
    <col min="13338" max="13338" width="14.140625" style="130" customWidth="1"/>
    <col min="13339" max="13339" width="14.7109375" style="130" customWidth="1"/>
    <col min="13340" max="13340" width="10.7109375" style="130" customWidth="1"/>
    <col min="13341" max="13341" width="12.42578125" style="130" customWidth="1"/>
    <col min="13342" max="13342" width="13.42578125" style="130" customWidth="1"/>
    <col min="13343" max="13343" width="13" style="130" customWidth="1"/>
    <col min="13344" max="13344" width="11.85546875" style="130" customWidth="1"/>
    <col min="13345" max="13345" width="12" style="130" customWidth="1"/>
    <col min="13346" max="13346" width="9.140625" style="130"/>
    <col min="13347" max="13347" width="12.7109375" style="130" customWidth="1"/>
    <col min="13348" max="13348" width="13.5703125" style="130" customWidth="1"/>
    <col min="13349" max="13349" width="15.28515625" style="130" customWidth="1"/>
    <col min="13350" max="13350" width="17" style="130" customWidth="1"/>
    <col min="13351" max="13351" width="18.140625" style="130" customWidth="1"/>
    <col min="13352" max="13352" width="12.85546875" style="130" customWidth="1"/>
    <col min="13353" max="13353" width="17.5703125" style="130" customWidth="1"/>
    <col min="13354" max="13354" width="15.140625" style="130" customWidth="1"/>
    <col min="13355" max="13355" width="11.28515625" style="130" customWidth="1"/>
    <col min="13356" max="13356" width="11.85546875" style="130" customWidth="1"/>
    <col min="13357" max="13357" width="12" style="130" customWidth="1"/>
    <col min="13358" max="13358" width="9.140625" style="130"/>
    <col min="13359" max="13359" width="51.5703125" style="130" customWidth="1"/>
    <col min="13360" max="13360" width="14.28515625" style="130" customWidth="1"/>
    <col min="13361" max="13361" width="20.42578125" style="130" customWidth="1"/>
    <col min="13362" max="13568" width="9.140625" style="130"/>
    <col min="13569" max="13569" width="66.42578125" style="130" customWidth="1"/>
    <col min="13570" max="13570" width="75.140625" style="130" customWidth="1"/>
    <col min="13571" max="13571" width="14.42578125" style="130" customWidth="1"/>
    <col min="13572" max="13572" width="13.42578125" style="130" customWidth="1"/>
    <col min="13573" max="13573" width="15.5703125" style="130" customWidth="1"/>
    <col min="13574" max="13574" width="17.42578125" style="130" customWidth="1"/>
    <col min="13575" max="13575" width="11.85546875" style="130" customWidth="1"/>
    <col min="13576" max="13576" width="16" style="130" customWidth="1"/>
    <col min="13577" max="13577" width="13.140625" style="130" customWidth="1"/>
    <col min="13578" max="13578" width="12" style="130" customWidth="1"/>
    <col min="13579" max="13579" width="15.140625" style="130" customWidth="1"/>
    <col min="13580" max="13580" width="15.85546875" style="130" customWidth="1"/>
    <col min="13581" max="13581" width="14.85546875" style="130" customWidth="1"/>
    <col min="13582" max="13582" width="13.5703125" style="130" customWidth="1"/>
    <col min="13583" max="13583" width="15.28515625" style="130" customWidth="1"/>
    <col min="13584" max="13584" width="12.7109375" style="130" customWidth="1"/>
    <col min="13585" max="13585" width="14" style="130" customWidth="1"/>
    <col min="13586" max="13586" width="12.42578125" style="130" customWidth="1"/>
    <col min="13587" max="13587" width="13" style="130" customWidth="1"/>
    <col min="13588" max="13588" width="13.42578125" style="130" customWidth="1"/>
    <col min="13589" max="13589" width="17.7109375" style="130" customWidth="1"/>
    <col min="13590" max="13590" width="19.140625" style="130" customWidth="1"/>
    <col min="13591" max="13591" width="12.5703125" style="130" bestFit="1" customWidth="1"/>
    <col min="13592" max="13592" width="11.85546875" style="130" customWidth="1"/>
    <col min="13593" max="13593" width="13.140625" style="130" customWidth="1"/>
    <col min="13594" max="13594" width="14.140625" style="130" customWidth="1"/>
    <col min="13595" max="13595" width="14.7109375" style="130" customWidth="1"/>
    <col min="13596" max="13596" width="10.7109375" style="130" customWidth="1"/>
    <col min="13597" max="13597" width="12.42578125" style="130" customWidth="1"/>
    <col min="13598" max="13598" width="13.42578125" style="130" customWidth="1"/>
    <col min="13599" max="13599" width="13" style="130" customWidth="1"/>
    <col min="13600" max="13600" width="11.85546875" style="130" customWidth="1"/>
    <col min="13601" max="13601" width="12" style="130" customWidth="1"/>
    <col min="13602" max="13602" width="9.140625" style="130"/>
    <col min="13603" max="13603" width="12.7109375" style="130" customWidth="1"/>
    <col min="13604" max="13604" width="13.5703125" style="130" customWidth="1"/>
    <col min="13605" max="13605" width="15.28515625" style="130" customWidth="1"/>
    <col min="13606" max="13606" width="17" style="130" customWidth="1"/>
    <col min="13607" max="13607" width="18.140625" style="130" customWidth="1"/>
    <col min="13608" max="13608" width="12.85546875" style="130" customWidth="1"/>
    <col min="13609" max="13609" width="17.5703125" style="130" customWidth="1"/>
    <col min="13610" max="13610" width="15.140625" style="130" customWidth="1"/>
    <col min="13611" max="13611" width="11.28515625" style="130" customWidth="1"/>
    <col min="13612" max="13612" width="11.85546875" style="130" customWidth="1"/>
    <col min="13613" max="13613" width="12" style="130" customWidth="1"/>
    <col min="13614" max="13614" width="9.140625" style="130"/>
    <col min="13615" max="13615" width="51.5703125" style="130" customWidth="1"/>
    <col min="13616" max="13616" width="14.28515625" style="130" customWidth="1"/>
    <col min="13617" max="13617" width="20.42578125" style="130" customWidth="1"/>
    <col min="13618" max="13824" width="9.140625" style="130"/>
    <col min="13825" max="13825" width="66.42578125" style="130" customWidth="1"/>
    <col min="13826" max="13826" width="75.140625" style="130" customWidth="1"/>
    <col min="13827" max="13827" width="14.42578125" style="130" customWidth="1"/>
    <col min="13828" max="13828" width="13.42578125" style="130" customWidth="1"/>
    <col min="13829" max="13829" width="15.5703125" style="130" customWidth="1"/>
    <col min="13830" max="13830" width="17.42578125" style="130" customWidth="1"/>
    <col min="13831" max="13831" width="11.85546875" style="130" customWidth="1"/>
    <col min="13832" max="13832" width="16" style="130" customWidth="1"/>
    <col min="13833" max="13833" width="13.140625" style="130" customWidth="1"/>
    <col min="13834" max="13834" width="12" style="130" customWidth="1"/>
    <col min="13835" max="13835" width="15.140625" style="130" customWidth="1"/>
    <col min="13836" max="13836" width="15.85546875" style="130" customWidth="1"/>
    <col min="13837" max="13837" width="14.85546875" style="130" customWidth="1"/>
    <col min="13838" max="13838" width="13.5703125" style="130" customWidth="1"/>
    <col min="13839" max="13839" width="15.28515625" style="130" customWidth="1"/>
    <col min="13840" max="13840" width="12.7109375" style="130" customWidth="1"/>
    <col min="13841" max="13841" width="14" style="130" customWidth="1"/>
    <col min="13842" max="13842" width="12.42578125" style="130" customWidth="1"/>
    <col min="13843" max="13843" width="13" style="130" customWidth="1"/>
    <col min="13844" max="13844" width="13.42578125" style="130" customWidth="1"/>
    <col min="13845" max="13845" width="17.7109375" style="130" customWidth="1"/>
    <col min="13846" max="13846" width="19.140625" style="130" customWidth="1"/>
    <col min="13847" max="13847" width="12.5703125" style="130" bestFit="1" customWidth="1"/>
    <col min="13848" max="13848" width="11.85546875" style="130" customWidth="1"/>
    <col min="13849" max="13849" width="13.140625" style="130" customWidth="1"/>
    <col min="13850" max="13850" width="14.140625" style="130" customWidth="1"/>
    <col min="13851" max="13851" width="14.7109375" style="130" customWidth="1"/>
    <col min="13852" max="13852" width="10.7109375" style="130" customWidth="1"/>
    <col min="13853" max="13853" width="12.42578125" style="130" customWidth="1"/>
    <col min="13854" max="13854" width="13.42578125" style="130" customWidth="1"/>
    <col min="13855" max="13855" width="13" style="130" customWidth="1"/>
    <col min="13856" max="13856" width="11.85546875" style="130" customWidth="1"/>
    <col min="13857" max="13857" width="12" style="130" customWidth="1"/>
    <col min="13858" max="13858" width="9.140625" style="130"/>
    <col min="13859" max="13859" width="12.7109375" style="130" customWidth="1"/>
    <col min="13860" max="13860" width="13.5703125" style="130" customWidth="1"/>
    <col min="13861" max="13861" width="15.28515625" style="130" customWidth="1"/>
    <col min="13862" max="13862" width="17" style="130" customWidth="1"/>
    <col min="13863" max="13863" width="18.140625" style="130" customWidth="1"/>
    <col min="13864" max="13864" width="12.85546875" style="130" customWidth="1"/>
    <col min="13865" max="13865" width="17.5703125" style="130" customWidth="1"/>
    <col min="13866" max="13866" width="15.140625" style="130" customWidth="1"/>
    <col min="13867" max="13867" width="11.28515625" style="130" customWidth="1"/>
    <col min="13868" max="13868" width="11.85546875" style="130" customWidth="1"/>
    <col min="13869" max="13869" width="12" style="130" customWidth="1"/>
    <col min="13870" max="13870" width="9.140625" style="130"/>
    <col min="13871" max="13871" width="51.5703125" style="130" customWidth="1"/>
    <col min="13872" max="13872" width="14.28515625" style="130" customWidth="1"/>
    <col min="13873" max="13873" width="20.42578125" style="130" customWidth="1"/>
    <col min="13874" max="14080" width="9.140625" style="130"/>
    <col min="14081" max="14081" width="66.42578125" style="130" customWidth="1"/>
    <col min="14082" max="14082" width="75.140625" style="130" customWidth="1"/>
    <col min="14083" max="14083" width="14.42578125" style="130" customWidth="1"/>
    <col min="14084" max="14084" width="13.42578125" style="130" customWidth="1"/>
    <col min="14085" max="14085" width="15.5703125" style="130" customWidth="1"/>
    <col min="14086" max="14086" width="17.42578125" style="130" customWidth="1"/>
    <col min="14087" max="14087" width="11.85546875" style="130" customWidth="1"/>
    <col min="14088" max="14088" width="16" style="130" customWidth="1"/>
    <col min="14089" max="14089" width="13.140625" style="130" customWidth="1"/>
    <col min="14090" max="14090" width="12" style="130" customWidth="1"/>
    <col min="14091" max="14091" width="15.140625" style="130" customWidth="1"/>
    <col min="14092" max="14092" width="15.85546875" style="130" customWidth="1"/>
    <col min="14093" max="14093" width="14.85546875" style="130" customWidth="1"/>
    <col min="14094" max="14094" width="13.5703125" style="130" customWidth="1"/>
    <col min="14095" max="14095" width="15.28515625" style="130" customWidth="1"/>
    <col min="14096" max="14096" width="12.7109375" style="130" customWidth="1"/>
    <col min="14097" max="14097" width="14" style="130" customWidth="1"/>
    <col min="14098" max="14098" width="12.42578125" style="130" customWidth="1"/>
    <col min="14099" max="14099" width="13" style="130" customWidth="1"/>
    <col min="14100" max="14100" width="13.42578125" style="130" customWidth="1"/>
    <col min="14101" max="14101" width="17.7109375" style="130" customWidth="1"/>
    <col min="14102" max="14102" width="19.140625" style="130" customWidth="1"/>
    <col min="14103" max="14103" width="12.5703125" style="130" bestFit="1" customWidth="1"/>
    <col min="14104" max="14104" width="11.85546875" style="130" customWidth="1"/>
    <col min="14105" max="14105" width="13.140625" style="130" customWidth="1"/>
    <col min="14106" max="14106" width="14.140625" style="130" customWidth="1"/>
    <col min="14107" max="14107" width="14.7109375" style="130" customWidth="1"/>
    <col min="14108" max="14108" width="10.7109375" style="130" customWidth="1"/>
    <col min="14109" max="14109" width="12.42578125" style="130" customWidth="1"/>
    <col min="14110" max="14110" width="13.42578125" style="130" customWidth="1"/>
    <col min="14111" max="14111" width="13" style="130" customWidth="1"/>
    <col min="14112" max="14112" width="11.85546875" style="130" customWidth="1"/>
    <col min="14113" max="14113" width="12" style="130" customWidth="1"/>
    <col min="14114" max="14114" width="9.140625" style="130"/>
    <col min="14115" max="14115" width="12.7109375" style="130" customWidth="1"/>
    <col min="14116" max="14116" width="13.5703125" style="130" customWidth="1"/>
    <col min="14117" max="14117" width="15.28515625" style="130" customWidth="1"/>
    <col min="14118" max="14118" width="17" style="130" customWidth="1"/>
    <col min="14119" max="14119" width="18.140625" style="130" customWidth="1"/>
    <col min="14120" max="14120" width="12.85546875" style="130" customWidth="1"/>
    <col min="14121" max="14121" width="17.5703125" style="130" customWidth="1"/>
    <col min="14122" max="14122" width="15.140625" style="130" customWidth="1"/>
    <col min="14123" max="14123" width="11.28515625" style="130" customWidth="1"/>
    <col min="14124" max="14124" width="11.85546875" style="130" customWidth="1"/>
    <col min="14125" max="14125" width="12" style="130" customWidth="1"/>
    <col min="14126" max="14126" width="9.140625" style="130"/>
    <col min="14127" max="14127" width="51.5703125" style="130" customWidth="1"/>
    <col min="14128" max="14128" width="14.28515625" style="130" customWidth="1"/>
    <col min="14129" max="14129" width="20.42578125" style="130" customWidth="1"/>
    <col min="14130" max="14336" width="9.140625" style="130"/>
    <col min="14337" max="14337" width="66.42578125" style="130" customWidth="1"/>
    <col min="14338" max="14338" width="75.140625" style="130" customWidth="1"/>
    <col min="14339" max="14339" width="14.42578125" style="130" customWidth="1"/>
    <col min="14340" max="14340" width="13.42578125" style="130" customWidth="1"/>
    <col min="14341" max="14341" width="15.5703125" style="130" customWidth="1"/>
    <col min="14342" max="14342" width="17.42578125" style="130" customWidth="1"/>
    <col min="14343" max="14343" width="11.85546875" style="130" customWidth="1"/>
    <col min="14344" max="14344" width="16" style="130" customWidth="1"/>
    <col min="14345" max="14345" width="13.140625" style="130" customWidth="1"/>
    <col min="14346" max="14346" width="12" style="130" customWidth="1"/>
    <col min="14347" max="14347" width="15.140625" style="130" customWidth="1"/>
    <col min="14348" max="14348" width="15.85546875" style="130" customWidth="1"/>
    <col min="14349" max="14349" width="14.85546875" style="130" customWidth="1"/>
    <col min="14350" max="14350" width="13.5703125" style="130" customWidth="1"/>
    <col min="14351" max="14351" width="15.28515625" style="130" customWidth="1"/>
    <col min="14352" max="14352" width="12.7109375" style="130" customWidth="1"/>
    <col min="14353" max="14353" width="14" style="130" customWidth="1"/>
    <col min="14354" max="14354" width="12.42578125" style="130" customWidth="1"/>
    <col min="14355" max="14355" width="13" style="130" customWidth="1"/>
    <col min="14356" max="14356" width="13.42578125" style="130" customWidth="1"/>
    <col min="14357" max="14357" width="17.7109375" style="130" customWidth="1"/>
    <col min="14358" max="14358" width="19.140625" style="130" customWidth="1"/>
    <col min="14359" max="14359" width="12.5703125" style="130" bestFit="1" customWidth="1"/>
    <col min="14360" max="14360" width="11.85546875" style="130" customWidth="1"/>
    <col min="14361" max="14361" width="13.140625" style="130" customWidth="1"/>
    <col min="14362" max="14362" width="14.140625" style="130" customWidth="1"/>
    <col min="14363" max="14363" width="14.7109375" style="130" customWidth="1"/>
    <col min="14364" max="14364" width="10.7109375" style="130" customWidth="1"/>
    <col min="14365" max="14365" width="12.42578125" style="130" customWidth="1"/>
    <col min="14366" max="14366" width="13.42578125" style="130" customWidth="1"/>
    <col min="14367" max="14367" width="13" style="130" customWidth="1"/>
    <col min="14368" max="14368" width="11.85546875" style="130" customWidth="1"/>
    <col min="14369" max="14369" width="12" style="130" customWidth="1"/>
    <col min="14370" max="14370" width="9.140625" style="130"/>
    <col min="14371" max="14371" width="12.7109375" style="130" customWidth="1"/>
    <col min="14372" max="14372" width="13.5703125" style="130" customWidth="1"/>
    <col min="14373" max="14373" width="15.28515625" style="130" customWidth="1"/>
    <col min="14374" max="14374" width="17" style="130" customWidth="1"/>
    <col min="14375" max="14375" width="18.140625" style="130" customWidth="1"/>
    <col min="14376" max="14376" width="12.85546875" style="130" customWidth="1"/>
    <col min="14377" max="14377" width="17.5703125" style="130" customWidth="1"/>
    <col min="14378" max="14378" width="15.140625" style="130" customWidth="1"/>
    <col min="14379" max="14379" width="11.28515625" style="130" customWidth="1"/>
    <col min="14380" max="14380" width="11.85546875" style="130" customWidth="1"/>
    <col min="14381" max="14381" width="12" style="130" customWidth="1"/>
    <col min="14382" max="14382" width="9.140625" style="130"/>
    <col min="14383" max="14383" width="51.5703125" style="130" customWidth="1"/>
    <col min="14384" max="14384" width="14.28515625" style="130" customWidth="1"/>
    <col min="14385" max="14385" width="20.42578125" style="130" customWidth="1"/>
    <col min="14386" max="14592" width="9.140625" style="130"/>
    <col min="14593" max="14593" width="66.42578125" style="130" customWidth="1"/>
    <col min="14594" max="14594" width="75.140625" style="130" customWidth="1"/>
    <col min="14595" max="14595" width="14.42578125" style="130" customWidth="1"/>
    <col min="14596" max="14596" width="13.42578125" style="130" customWidth="1"/>
    <col min="14597" max="14597" width="15.5703125" style="130" customWidth="1"/>
    <col min="14598" max="14598" width="17.42578125" style="130" customWidth="1"/>
    <col min="14599" max="14599" width="11.85546875" style="130" customWidth="1"/>
    <col min="14600" max="14600" width="16" style="130" customWidth="1"/>
    <col min="14601" max="14601" width="13.140625" style="130" customWidth="1"/>
    <col min="14602" max="14602" width="12" style="130" customWidth="1"/>
    <col min="14603" max="14603" width="15.140625" style="130" customWidth="1"/>
    <col min="14604" max="14604" width="15.85546875" style="130" customWidth="1"/>
    <col min="14605" max="14605" width="14.85546875" style="130" customWidth="1"/>
    <col min="14606" max="14606" width="13.5703125" style="130" customWidth="1"/>
    <col min="14607" max="14607" width="15.28515625" style="130" customWidth="1"/>
    <col min="14608" max="14608" width="12.7109375" style="130" customWidth="1"/>
    <col min="14609" max="14609" width="14" style="130" customWidth="1"/>
    <col min="14610" max="14610" width="12.42578125" style="130" customWidth="1"/>
    <col min="14611" max="14611" width="13" style="130" customWidth="1"/>
    <col min="14612" max="14612" width="13.42578125" style="130" customWidth="1"/>
    <col min="14613" max="14613" width="17.7109375" style="130" customWidth="1"/>
    <col min="14614" max="14614" width="19.140625" style="130" customWidth="1"/>
    <col min="14615" max="14615" width="12.5703125" style="130" bestFit="1" customWidth="1"/>
    <col min="14616" max="14616" width="11.85546875" style="130" customWidth="1"/>
    <col min="14617" max="14617" width="13.140625" style="130" customWidth="1"/>
    <col min="14618" max="14618" width="14.140625" style="130" customWidth="1"/>
    <col min="14619" max="14619" width="14.7109375" style="130" customWidth="1"/>
    <col min="14620" max="14620" width="10.7109375" style="130" customWidth="1"/>
    <col min="14621" max="14621" width="12.42578125" style="130" customWidth="1"/>
    <col min="14622" max="14622" width="13.42578125" style="130" customWidth="1"/>
    <col min="14623" max="14623" width="13" style="130" customWidth="1"/>
    <col min="14624" max="14624" width="11.85546875" style="130" customWidth="1"/>
    <col min="14625" max="14625" width="12" style="130" customWidth="1"/>
    <col min="14626" max="14626" width="9.140625" style="130"/>
    <col min="14627" max="14627" width="12.7109375" style="130" customWidth="1"/>
    <col min="14628" max="14628" width="13.5703125" style="130" customWidth="1"/>
    <col min="14629" max="14629" width="15.28515625" style="130" customWidth="1"/>
    <col min="14630" max="14630" width="17" style="130" customWidth="1"/>
    <col min="14631" max="14631" width="18.140625" style="130" customWidth="1"/>
    <col min="14632" max="14632" width="12.85546875" style="130" customWidth="1"/>
    <col min="14633" max="14633" width="17.5703125" style="130" customWidth="1"/>
    <col min="14634" max="14634" width="15.140625" style="130" customWidth="1"/>
    <col min="14635" max="14635" width="11.28515625" style="130" customWidth="1"/>
    <col min="14636" max="14636" width="11.85546875" style="130" customWidth="1"/>
    <col min="14637" max="14637" width="12" style="130" customWidth="1"/>
    <col min="14638" max="14638" width="9.140625" style="130"/>
    <col min="14639" max="14639" width="51.5703125" style="130" customWidth="1"/>
    <col min="14640" max="14640" width="14.28515625" style="130" customWidth="1"/>
    <col min="14641" max="14641" width="20.42578125" style="130" customWidth="1"/>
    <col min="14642" max="14848" width="9.140625" style="130"/>
    <col min="14849" max="14849" width="66.42578125" style="130" customWidth="1"/>
    <col min="14850" max="14850" width="75.140625" style="130" customWidth="1"/>
    <col min="14851" max="14851" width="14.42578125" style="130" customWidth="1"/>
    <col min="14852" max="14852" width="13.42578125" style="130" customWidth="1"/>
    <col min="14853" max="14853" width="15.5703125" style="130" customWidth="1"/>
    <col min="14854" max="14854" width="17.42578125" style="130" customWidth="1"/>
    <col min="14855" max="14855" width="11.85546875" style="130" customWidth="1"/>
    <col min="14856" max="14856" width="16" style="130" customWidth="1"/>
    <col min="14857" max="14857" width="13.140625" style="130" customWidth="1"/>
    <col min="14858" max="14858" width="12" style="130" customWidth="1"/>
    <col min="14859" max="14859" width="15.140625" style="130" customWidth="1"/>
    <col min="14860" max="14860" width="15.85546875" style="130" customWidth="1"/>
    <col min="14861" max="14861" width="14.85546875" style="130" customWidth="1"/>
    <col min="14862" max="14862" width="13.5703125" style="130" customWidth="1"/>
    <col min="14863" max="14863" width="15.28515625" style="130" customWidth="1"/>
    <col min="14864" max="14864" width="12.7109375" style="130" customWidth="1"/>
    <col min="14865" max="14865" width="14" style="130" customWidth="1"/>
    <col min="14866" max="14866" width="12.42578125" style="130" customWidth="1"/>
    <col min="14867" max="14867" width="13" style="130" customWidth="1"/>
    <col min="14868" max="14868" width="13.42578125" style="130" customWidth="1"/>
    <col min="14869" max="14869" width="17.7109375" style="130" customWidth="1"/>
    <col min="14870" max="14870" width="19.140625" style="130" customWidth="1"/>
    <col min="14871" max="14871" width="12.5703125" style="130" bestFit="1" customWidth="1"/>
    <col min="14872" max="14872" width="11.85546875" style="130" customWidth="1"/>
    <col min="14873" max="14873" width="13.140625" style="130" customWidth="1"/>
    <col min="14874" max="14874" width="14.140625" style="130" customWidth="1"/>
    <col min="14875" max="14875" width="14.7109375" style="130" customWidth="1"/>
    <col min="14876" max="14876" width="10.7109375" style="130" customWidth="1"/>
    <col min="14877" max="14877" width="12.42578125" style="130" customWidth="1"/>
    <col min="14878" max="14878" width="13.42578125" style="130" customWidth="1"/>
    <col min="14879" max="14879" width="13" style="130" customWidth="1"/>
    <col min="14880" max="14880" width="11.85546875" style="130" customWidth="1"/>
    <col min="14881" max="14881" width="12" style="130" customWidth="1"/>
    <col min="14882" max="14882" width="9.140625" style="130"/>
    <col min="14883" max="14883" width="12.7109375" style="130" customWidth="1"/>
    <col min="14884" max="14884" width="13.5703125" style="130" customWidth="1"/>
    <col min="14885" max="14885" width="15.28515625" style="130" customWidth="1"/>
    <col min="14886" max="14886" width="17" style="130" customWidth="1"/>
    <col min="14887" max="14887" width="18.140625" style="130" customWidth="1"/>
    <col min="14888" max="14888" width="12.85546875" style="130" customWidth="1"/>
    <col min="14889" max="14889" width="17.5703125" style="130" customWidth="1"/>
    <col min="14890" max="14890" width="15.140625" style="130" customWidth="1"/>
    <col min="14891" max="14891" width="11.28515625" style="130" customWidth="1"/>
    <col min="14892" max="14892" width="11.85546875" style="130" customWidth="1"/>
    <col min="14893" max="14893" width="12" style="130" customWidth="1"/>
    <col min="14894" max="14894" width="9.140625" style="130"/>
    <col min="14895" max="14895" width="51.5703125" style="130" customWidth="1"/>
    <col min="14896" max="14896" width="14.28515625" style="130" customWidth="1"/>
    <col min="14897" max="14897" width="20.42578125" style="130" customWidth="1"/>
    <col min="14898" max="15104" width="9.140625" style="130"/>
    <col min="15105" max="15105" width="66.42578125" style="130" customWidth="1"/>
    <col min="15106" max="15106" width="75.140625" style="130" customWidth="1"/>
    <col min="15107" max="15107" width="14.42578125" style="130" customWidth="1"/>
    <col min="15108" max="15108" width="13.42578125" style="130" customWidth="1"/>
    <col min="15109" max="15109" width="15.5703125" style="130" customWidth="1"/>
    <col min="15110" max="15110" width="17.42578125" style="130" customWidth="1"/>
    <col min="15111" max="15111" width="11.85546875" style="130" customWidth="1"/>
    <col min="15112" max="15112" width="16" style="130" customWidth="1"/>
    <col min="15113" max="15113" width="13.140625" style="130" customWidth="1"/>
    <col min="15114" max="15114" width="12" style="130" customWidth="1"/>
    <col min="15115" max="15115" width="15.140625" style="130" customWidth="1"/>
    <col min="15116" max="15116" width="15.85546875" style="130" customWidth="1"/>
    <col min="15117" max="15117" width="14.85546875" style="130" customWidth="1"/>
    <col min="15118" max="15118" width="13.5703125" style="130" customWidth="1"/>
    <col min="15119" max="15119" width="15.28515625" style="130" customWidth="1"/>
    <col min="15120" max="15120" width="12.7109375" style="130" customWidth="1"/>
    <col min="15121" max="15121" width="14" style="130" customWidth="1"/>
    <col min="15122" max="15122" width="12.42578125" style="130" customWidth="1"/>
    <col min="15123" max="15123" width="13" style="130" customWidth="1"/>
    <col min="15124" max="15124" width="13.42578125" style="130" customWidth="1"/>
    <col min="15125" max="15125" width="17.7109375" style="130" customWidth="1"/>
    <col min="15126" max="15126" width="19.140625" style="130" customWidth="1"/>
    <col min="15127" max="15127" width="12.5703125" style="130" bestFit="1" customWidth="1"/>
    <col min="15128" max="15128" width="11.85546875" style="130" customWidth="1"/>
    <col min="15129" max="15129" width="13.140625" style="130" customWidth="1"/>
    <col min="15130" max="15130" width="14.140625" style="130" customWidth="1"/>
    <col min="15131" max="15131" width="14.7109375" style="130" customWidth="1"/>
    <col min="15132" max="15132" width="10.7109375" style="130" customWidth="1"/>
    <col min="15133" max="15133" width="12.42578125" style="130" customWidth="1"/>
    <col min="15134" max="15134" width="13.42578125" style="130" customWidth="1"/>
    <col min="15135" max="15135" width="13" style="130" customWidth="1"/>
    <col min="15136" max="15136" width="11.85546875" style="130" customWidth="1"/>
    <col min="15137" max="15137" width="12" style="130" customWidth="1"/>
    <col min="15138" max="15138" width="9.140625" style="130"/>
    <col min="15139" max="15139" width="12.7109375" style="130" customWidth="1"/>
    <col min="15140" max="15140" width="13.5703125" style="130" customWidth="1"/>
    <col min="15141" max="15141" width="15.28515625" style="130" customWidth="1"/>
    <col min="15142" max="15142" width="17" style="130" customWidth="1"/>
    <col min="15143" max="15143" width="18.140625" style="130" customWidth="1"/>
    <col min="15144" max="15144" width="12.85546875" style="130" customWidth="1"/>
    <col min="15145" max="15145" width="17.5703125" style="130" customWidth="1"/>
    <col min="15146" max="15146" width="15.140625" style="130" customWidth="1"/>
    <col min="15147" max="15147" width="11.28515625" style="130" customWidth="1"/>
    <col min="15148" max="15148" width="11.85546875" style="130" customWidth="1"/>
    <col min="15149" max="15149" width="12" style="130" customWidth="1"/>
    <col min="15150" max="15150" width="9.140625" style="130"/>
    <col min="15151" max="15151" width="51.5703125" style="130" customWidth="1"/>
    <col min="15152" max="15152" width="14.28515625" style="130" customWidth="1"/>
    <col min="15153" max="15153" width="20.42578125" style="130" customWidth="1"/>
    <col min="15154" max="15360" width="9.140625" style="130"/>
    <col min="15361" max="15361" width="66.42578125" style="130" customWidth="1"/>
    <col min="15362" max="15362" width="75.140625" style="130" customWidth="1"/>
    <col min="15363" max="15363" width="14.42578125" style="130" customWidth="1"/>
    <col min="15364" max="15364" width="13.42578125" style="130" customWidth="1"/>
    <col min="15365" max="15365" width="15.5703125" style="130" customWidth="1"/>
    <col min="15366" max="15366" width="17.42578125" style="130" customWidth="1"/>
    <col min="15367" max="15367" width="11.85546875" style="130" customWidth="1"/>
    <col min="15368" max="15368" width="16" style="130" customWidth="1"/>
    <col min="15369" max="15369" width="13.140625" style="130" customWidth="1"/>
    <col min="15370" max="15370" width="12" style="130" customWidth="1"/>
    <col min="15371" max="15371" width="15.140625" style="130" customWidth="1"/>
    <col min="15372" max="15372" width="15.85546875" style="130" customWidth="1"/>
    <col min="15373" max="15373" width="14.85546875" style="130" customWidth="1"/>
    <col min="15374" max="15374" width="13.5703125" style="130" customWidth="1"/>
    <col min="15375" max="15375" width="15.28515625" style="130" customWidth="1"/>
    <col min="15376" max="15376" width="12.7109375" style="130" customWidth="1"/>
    <col min="15377" max="15377" width="14" style="130" customWidth="1"/>
    <col min="15378" max="15378" width="12.42578125" style="130" customWidth="1"/>
    <col min="15379" max="15379" width="13" style="130" customWidth="1"/>
    <col min="15380" max="15380" width="13.42578125" style="130" customWidth="1"/>
    <col min="15381" max="15381" width="17.7109375" style="130" customWidth="1"/>
    <col min="15382" max="15382" width="19.140625" style="130" customWidth="1"/>
    <col min="15383" max="15383" width="12.5703125" style="130" bestFit="1" customWidth="1"/>
    <col min="15384" max="15384" width="11.85546875" style="130" customWidth="1"/>
    <col min="15385" max="15385" width="13.140625" style="130" customWidth="1"/>
    <col min="15386" max="15386" width="14.140625" style="130" customWidth="1"/>
    <col min="15387" max="15387" width="14.7109375" style="130" customWidth="1"/>
    <col min="15388" max="15388" width="10.7109375" style="130" customWidth="1"/>
    <col min="15389" max="15389" width="12.42578125" style="130" customWidth="1"/>
    <col min="15390" max="15390" width="13.42578125" style="130" customWidth="1"/>
    <col min="15391" max="15391" width="13" style="130" customWidth="1"/>
    <col min="15392" max="15392" width="11.85546875" style="130" customWidth="1"/>
    <col min="15393" max="15393" width="12" style="130" customWidth="1"/>
    <col min="15394" max="15394" width="9.140625" style="130"/>
    <col min="15395" max="15395" width="12.7109375" style="130" customWidth="1"/>
    <col min="15396" max="15396" width="13.5703125" style="130" customWidth="1"/>
    <col min="15397" max="15397" width="15.28515625" style="130" customWidth="1"/>
    <col min="15398" max="15398" width="17" style="130" customWidth="1"/>
    <col min="15399" max="15399" width="18.140625" style="130" customWidth="1"/>
    <col min="15400" max="15400" width="12.85546875" style="130" customWidth="1"/>
    <col min="15401" max="15401" width="17.5703125" style="130" customWidth="1"/>
    <col min="15402" max="15402" width="15.140625" style="130" customWidth="1"/>
    <col min="15403" max="15403" width="11.28515625" style="130" customWidth="1"/>
    <col min="15404" max="15404" width="11.85546875" style="130" customWidth="1"/>
    <col min="15405" max="15405" width="12" style="130" customWidth="1"/>
    <col min="15406" max="15406" width="9.140625" style="130"/>
    <col min="15407" max="15407" width="51.5703125" style="130" customWidth="1"/>
    <col min="15408" max="15408" width="14.28515625" style="130" customWidth="1"/>
    <col min="15409" max="15409" width="20.42578125" style="130" customWidth="1"/>
    <col min="15410" max="15616" width="9.140625" style="130"/>
    <col min="15617" max="15617" width="66.42578125" style="130" customWidth="1"/>
    <col min="15618" max="15618" width="75.140625" style="130" customWidth="1"/>
    <col min="15619" max="15619" width="14.42578125" style="130" customWidth="1"/>
    <col min="15620" max="15620" width="13.42578125" style="130" customWidth="1"/>
    <col min="15621" max="15621" width="15.5703125" style="130" customWidth="1"/>
    <col min="15622" max="15622" width="17.42578125" style="130" customWidth="1"/>
    <col min="15623" max="15623" width="11.85546875" style="130" customWidth="1"/>
    <col min="15624" max="15624" width="16" style="130" customWidth="1"/>
    <col min="15625" max="15625" width="13.140625" style="130" customWidth="1"/>
    <col min="15626" max="15626" width="12" style="130" customWidth="1"/>
    <col min="15627" max="15627" width="15.140625" style="130" customWidth="1"/>
    <col min="15628" max="15628" width="15.85546875" style="130" customWidth="1"/>
    <col min="15629" max="15629" width="14.85546875" style="130" customWidth="1"/>
    <col min="15630" max="15630" width="13.5703125" style="130" customWidth="1"/>
    <col min="15631" max="15631" width="15.28515625" style="130" customWidth="1"/>
    <col min="15632" max="15632" width="12.7109375" style="130" customWidth="1"/>
    <col min="15633" max="15633" width="14" style="130" customWidth="1"/>
    <col min="15634" max="15634" width="12.42578125" style="130" customWidth="1"/>
    <col min="15635" max="15635" width="13" style="130" customWidth="1"/>
    <col min="15636" max="15636" width="13.42578125" style="130" customWidth="1"/>
    <col min="15637" max="15637" width="17.7109375" style="130" customWidth="1"/>
    <col min="15638" max="15638" width="19.140625" style="130" customWidth="1"/>
    <col min="15639" max="15639" width="12.5703125" style="130" bestFit="1" customWidth="1"/>
    <col min="15640" max="15640" width="11.85546875" style="130" customWidth="1"/>
    <col min="15641" max="15641" width="13.140625" style="130" customWidth="1"/>
    <col min="15642" max="15642" width="14.140625" style="130" customWidth="1"/>
    <col min="15643" max="15643" width="14.7109375" style="130" customWidth="1"/>
    <col min="15644" max="15644" width="10.7109375" style="130" customWidth="1"/>
    <col min="15645" max="15645" width="12.42578125" style="130" customWidth="1"/>
    <col min="15646" max="15646" width="13.42578125" style="130" customWidth="1"/>
    <col min="15647" max="15647" width="13" style="130" customWidth="1"/>
    <col min="15648" max="15648" width="11.85546875" style="130" customWidth="1"/>
    <col min="15649" max="15649" width="12" style="130" customWidth="1"/>
    <col min="15650" max="15650" width="9.140625" style="130"/>
    <col min="15651" max="15651" width="12.7109375" style="130" customWidth="1"/>
    <col min="15652" max="15652" width="13.5703125" style="130" customWidth="1"/>
    <col min="15653" max="15653" width="15.28515625" style="130" customWidth="1"/>
    <col min="15654" max="15654" width="17" style="130" customWidth="1"/>
    <col min="15655" max="15655" width="18.140625" style="130" customWidth="1"/>
    <col min="15656" max="15656" width="12.85546875" style="130" customWidth="1"/>
    <col min="15657" max="15657" width="17.5703125" style="130" customWidth="1"/>
    <col min="15658" max="15658" width="15.140625" style="130" customWidth="1"/>
    <col min="15659" max="15659" width="11.28515625" style="130" customWidth="1"/>
    <col min="15660" max="15660" width="11.85546875" style="130" customWidth="1"/>
    <col min="15661" max="15661" width="12" style="130" customWidth="1"/>
    <col min="15662" max="15662" width="9.140625" style="130"/>
    <col min="15663" max="15663" width="51.5703125" style="130" customWidth="1"/>
    <col min="15664" max="15664" width="14.28515625" style="130" customWidth="1"/>
    <col min="15665" max="15665" width="20.42578125" style="130" customWidth="1"/>
    <col min="15666" max="15872" width="9.140625" style="130"/>
    <col min="15873" max="15873" width="66.42578125" style="130" customWidth="1"/>
    <col min="15874" max="15874" width="75.140625" style="130" customWidth="1"/>
    <col min="15875" max="15875" width="14.42578125" style="130" customWidth="1"/>
    <col min="15876" max="15876" width="13.42578125" style="130" customWidth="1"/>
    <col min="15877" max="15877" width="15.5703125" style="130" customWidth="1"/>
    <col min="15878" max="15878" width="17.42578125" style="130" customWidth="1"/>
    <col min="15879" max="15879" width="11.85546875" style="130" customWidth="1"/>
    <col min="15880" max="15880" width="16" style="130" customWidth="1"/>
    <col min="15881" max="15881" width="13.140625" style="130" customWidth="1"/>
    <col min="15882" max="15882" width="12" style="130" customWidth="1"/>
    <col min="15883" max="15883" width="15.140625" style="130" customWidth="1"/>
    <col min="15884" max="15884" width="15.85546875" style="130" customWidth="1"/>
    <col min="15885" max="15885" width="14.85546875" style="130" customWidth="1"/>
    <col min="15886" max="15886" width="13.5703125" style="130" customWidth="1"/>
    <col min="15887" max="15887" width="15.28515625" style="130" customWidth="1"/>
    <col min="15888" max="15888" width="12.7109375" style="130" customWidth="1"/>
    <col min="15889" max="15889" width="14" style="130" customWidth="1"/>
    <col min="15890" max="15890" width="12.42578125" style="130" customWidth="1"/>
    <col min="15891" max="15891" width="13" style="130" customWidth="1"/>
    <col min="15892" max="15892" width="13.42578125" style="130" customWidth="1"/>
    <col min="15893" max="15893" width="17.7109375" style="130" customWidth="1"/>
    <col min="15894" max="15894" width="19.140625" style="130" customWidth="1"/>
    <col min="15895" max="15895" width="12.5703125" style="130" bestFit="1" customWidth="1"/>
    <col min="15896" max="15896" width="11.85546875" style="130" customWidth="1"/>
    <col min="15897" max="15897" width="13.140625" style="130" customWidth="1"/>
    <col min="15898" max="15898" width="14.140625" style="130" customWidth="1"/>
    <col min="15899" max="15899" width="14.7109375" style="130" customWidth="1"/>
    <col min="15900" max="15900" width="10.7109375" style="130" customWidth="1"/>
    <col min="15901" max="15901" width="12.42578125" style="130" customWidth="1"/>
    <col min="15902" max="15902" width="13.42578125" style="130" customWidth="1"/>
    <col min="15903" max="15903" width="13" style="130" customWidth="1"/>
    <col min="15904" max="15904" width="11.85546875" style="130" customWidth="1"/>
    <col min="15905" max="15905" width="12" style="130" customWidth="1"/>
    <col min="15906" max="15906" width="9.140625" style="130"/>
    <col min="15907" max="15907" width="12.7109375" style="130" customWidth="1"/>
    <col min="15908" max="15908" width="13.5703125" style="130" customWidth="1"/>
    <col min="15909" max="15909" width="15.28515625" style="130" customWidth="1"/>
    <col min="15910" max="15910" width="17" style="130" customWidth="1"/>
    <col min="15911" max="15911" width="18.140625" style="130" customWidth="1"/>
    <col min="15912" max="15912" width="12.85546875" style="130" customWidth="1"/>
    <col min="15913" max="15913" width="17.5703125" style="130" customWidth="1"/>
    <col min="15914" max="15914" width="15.140625" style="130" customWidth="1"/>
    <col min="15915" max="15915" width="11.28515625" style="130" customWidth="1"/>
    <col min="15916" max="15916" width="11.85546875" style="130" customWidth="1"/>
    <col min="15917" max="15917" width="12" style="130" customWidth="1"/>
    <col min="15918" max="15918" width="9.140625" style="130"/>
    <col min="15919" max="15919" width="51.5703125" style="130" customWidth="1"/>
    <col min="15920" max="15920" width="14.28515625" style="130" customWidth="1"/>
    <col min="15921" max="15921" width="20.42578125" style="130" customWidth="1"/>
    <col min="15922" max="16128" width="9.140625" style="130"/>
    <col min="16129" max="16129" width="66.42578125" style="130" customWidth="1"/>
    <col min="16130" max="16130" width="75.140625" style="130" customWidth="1"/>
    <col min="16131" max="16131" width="14.42578125" style="130" customWidth="1"/>
    <col min="16132" max="16132" width="13.42578125" style="130" customWidth="1"/>
    <col min="16133" max="16133" width="15.5703125" style="130" customWidth="1"/>
    <col min="16134" max="16134" width="17.42578125" style="130" customWidth="1"/>
    <col min="16135" max="16135" width="11.85546875" style="130" customWidth="1"/>
    <col min="16136" max="16136" width="16" style="130" customWidth="1"/>
    <col min="16137" max="16137" width="13.140625" style="130" customWidth="1"/>
    <col min="16138" max="16138" width="12" style="130" customWidth="1"/>
    <col min="16139" max="16139" width="15.140625" style="130" customWidth="1"/>
    <col min="16140" max="16140" width="15.85546875" style="130" customWidth="1"/>
    <col min="16141" max="16141" width="14.85546875" style="130" customWidth="1"/>
    <col min="16142" max="16142" width="13.5703125" style="130" customWidth="1"/>
    <col min="16143" max="16143" width="15.28515625" style="130" customWidth="1"/>
    <col min="16144" max="16144" width="12.7109375" style="130" customWidth="1"/>
    <col min="16145" max="16145" width="14" style="130" customWidth="1"/>
    <col min="16146" max="16146" width="12.42578125" style="130" customWidth="1"/>
    <col min="16147" max="16147" width="13" style="130" customWidth="1"/>
    <col min="16148" max="16148" width="13.42578125" style="130" customWidth="1"/>
    <col min="16149" max="16149" width="17.7109375" style="130" customWidth="1"/>
    <col min="16150" max="16150" width="19.140625" style="130" customWidth="1"/>
    <col min="16151" max="16151" width="12.5703125" style="130" bestFit="1" customWidth="1"/>
    <col min="16152" max="16152" width="11.85546875" style="130" customWidth="1"/>
    <col min="16153" max="16153" width="13.140625" style="130" customWidth="1"/>
    <col min="16154" max="16154" width="14.140625" style="130" customWidth="1"/>
    <col min="16155" max="16155" width="14.7109375" style="130" customWidth="1"/>
    <col min="16156" max="16156" width="10.7109375" style="130" customWidth="1"/>
    <col min="16157" max="16157" width="12.42578125" style="130" customWidth="1"/>
    <col min="16158" max="16158" width="13.42578125" style="130" customWidth="1"/>
    <col min="16159" max="16159" width="13" style="130" customWidth="1"/>
    <col min="16160" max="16160" width="11.85546875" style="130" customWidth="1"/>
    <col min="16161" max="16161" width="12" style="130" customWidth="1"/>
    <col min="16162" max="16162" width="9.140625" style="130"/>
    <col min="16163" max="16163" width="12.7109375" style="130" customWidth="1"/>
    <col min="16164" max="16164" width="13.5703125" style="130" customWidth="1"/>
    <col min="16165" max="16165" width="15.28515625" style="130" customWidth="1"/>
    <col min="16166" max="16166" width="17" style="130" customWidth="1"/>
    <col min="16167" max="16167" width="18.140625" style="130" customWidth="1"/>
    <col min="16168" max="16168" width="12.85546875" style="130" customWidth="1"/>
    <col min="16169" max="16169" width="17.5703125" style="130" customWidth="1"/>
    <col min="16170" max="16170" width="15.140625" style="130" customWidth="1"/>
    <col min="16171" max="16171" width="11.28515625" style="130" customWidth="1"/>
    <col min="16172" max="16172" width="11.85546875" style="130" customWidth="1"/>
    <col min="16173" max="16173" width="12" style="130" customWidth="1"/>
    <col min="16174" max="16174" width="9.140625" style="130"/>
    <col min="16175" max="16175" width="51.5703125" style="130" customWidth="1"/>
    <col min="16176" max="16176" width="14.28515625" style="130" customWidth="1"/>
    <col min="16177" max="16177" width="20.42578125" style="130" customWidth="1"/>
    <col min="16178" max="16384" width="9.140625" style="130"/>
  </cols>
  <sheetData>
    <row r="1" spans="1:47">
      <c r="A1" s="129" t="s">
        <v>356</v>
      </c>
      <c r="P1" s="130" t="s">
        <v>357</v>
      </c>
      <c r="Q1" s="130">
        <v>7.48</v>
      </c>
      <c r="S1" s="130" t="s">
        <v>358</v>
      </c>
      <c r="T1" s="130">
        <v>0.74570000000000003</v>
      </c>
      <c r="Y1"/>
      <c r="Z1"/>
      <c r="AA1"/>
      <c r="AB1"/>
      <c r="AC1"/>
      <c r="AD1"/>
      <c r="AE1"/>
      <c r="AF1"/>
      <c r="AG1"/>
      <c r="AH1"/>
      <c r="AI1"/>
    </row>
    <row r="2" spans="1:47" ht="13.5" thickBot="1">
      <c r="A2" s="129" t="s">
        <v>359</v>
      </c>
      <c r="J2" s="131"/>
      <c r="M2" s="131"/>
      <c r="N2" s="131"/>
      <c r="O2" s="131"/>
      <c r="P2" s="130" t="s">
        <v>360</v>
      </c>
      <c r="Q2" s="132">
        <v>43560</v>
      </c>
      <c r="S2" s="132"/>
      <c r="T2" s="132"/>
      <c r="Y2"/>
      <c r="Z2"/>
      <c r="AA2"/>
      <c r="AB2"/>
      <c r="AC2"/>
      <c r="AD2"/>
      <c r="AE2"/>
      <c r="AF2"/>
      <c r="AG2"/>
      <c r="AH2"/>
      <c r="AI2"/>
    </row>
    <row r="3" spans="1:47" ht="13.5" thickBot="1">
      <c r="B3" s="135"/>
      <c r="C3" s="318"/>
      <c r="D3" s="319"/>
      <c r="J3" s="131"/>
      <c r="N3" s="131"/>
      <c r="O3" s="131"/>
      <c r="P3" s="130" t="s">
        <v>361</v>
      </c>
      <c r="Q3" s="136">
        <f>Q1*Q2</f>
        <v>325828.80000000005</v>
      </c>
      <c r="S3" s="136"/>
      <c r="T3" s="136"/>
      <c r="Y3"/>
      <c r="Z3"/>
      <c r="AA3"/>
      <c r="AB3"/>
      <c r="AC3"/>
      <c r="AD3"/>
      <c r="AE3"/>
      <c r="AF3"/>
      <c r="AG3"/>
      <c r="AH3"/>
      <c r="AI3"/>
    </row>
    <row r="4" spans="1:47" ht="13.5" thickBot="1">
      <c r="C4" s="320"/>
      <c r="D4" s="320"/>
      <c r="P4" s="130" t="s">
        <v>362</v>
      </c>
      <c r="Q4" s="136">
        <f>Q3/12</f>
        <v>27152.400000000005</v>
      </c>
      <c r="S4" s="136"/>
      <c r="T4" s="136"/>
      <c r="Y4"/>
      <c r="Z4"/>
      <c r="AA4"/>
      <c r="AB4"/>
      <c r="AC4"/>
      <c r="AD4"/>
      <c r="AE4"/>
      <c r="AF4"/>
      <c r="AG4"/>
      <c r="AH4"/>
      <c r="AI4"/>
    </row>
    <row r="5" spans="1:47" ht="13.5" thickBot="1">
      <c r="A5" s="138" t="s">
        <v>363</v>
      </c>
      <c r="B5" s="139"/>
      <c r="C5" s="139"/>
      <c r="D5" s="139"/>
      <c r="E5" s="139"/>
      <c r="Q5" s="136"/>
      <c r="S5" s="136"/>
      <c r="T5" s="136"/>
      <c r="Y5"/>
      <c r="Z5"/>
      <c r="AA5"/>
      <c r="AB5"/>
      <c r="AC5"/>
      <c r="AD5"/>
      <c r="AE5"/>
      <c r="AF5"/>
      <c r="AG5"/>
      <c r="AH5"/>
      <c r="AI5"/>
    </row>
    <row r="6" spans="1:47" ht="38.25">
      <c r="A6" s="248" t="s">
        <v>6</v>
      </c>
      <c r="B6" s="140" t="s">
        <v>247</v>
      </c>
      <c r="C6" s="142" t="s">
        <v>499</v>
      </c>
      <c r="D6" s="142" t="s">
        <v>118</v>
      </c>
      <c r="E6" s="142" t="s">
        <v>364</v>
      </c>
      <c r="F6" s="142" t="s">
        <v>365</v>
      </c>
      <c r="G6" s="142" t="s">
        <v>366</v>
      </c>
      <c r="H6" s="143" t="s">
        <v>367</v>
      </c>
      <c r="I6"/>
      <c r="J6"/>
      <c r="K6"/>
      <c r="L6"/>
      <c r="Y6"/>
      <c r="Z6"/>
      <c r="AA6"/>
      <c r="AB6"/>
      <c r="AC6"/>
      <c r="AD6"/>
      <c r="AE6"/>
      <c r="AF6"/>
      <c r="AG6"/>
      <c r="AH6"/>
      <c r="AI6"/>
      <c r="AT6" s="145"/>
      <c r="AU6" s="145"/>
    </row>
    <row r="7" spans="1:47">
      <c r="A7" s="125" t="str">
        <f t="shared" ref="A7:A22" si="0">B7</f>
        <v>Convert High Pressure Center Pivot to Low pressure system - Idaho</v>
      </c>
      <c r="B7" s="125" t="s">
        <v>460</v>
      </c>
      <c r="C7" s="147">
        <f>(ConvertHi_LowCst/160)*C27</f>
        <v>7938.666781942432</v>
      </c>
      <c r="D7" s="148">
        <v>10</v>
      </c>
      <c r="E7" s="149">
        <v>0</v>
      </c>
      <c r="F7" s="150"/>
      <c r="G7" s="148"/>
      <c r="H7" s="158" t="s">
        <v>369</v>
      </c>
      <c r="I7"/>
      <c r="J7"/>
      <c r="K7"/>
      <c r="L7"/>
      <c r="N7" s="133"/>
      <c r="Y7"/>
      <c r="Z7"/>
      <c r="AA7"/>
      <c r="AB7"/>
      <c r="AC7"/>
      <c r="AD7"/>
      <c r="AE7"/>
      <c r="AF7"/>
      <c r="AG7"/>
      <c r="AH7"/>
      <c r="AI7"/>
    </row>
    <row r="8" spans="1:47">
      <c r="A8" s="125" t="str">
        <f t="shared" si="0"/>
        <v>Convert Medium Pressure Center Pivot to Low pressure system - Idaho</v>
      </c>
      <c r="B8" s="125" t="s">
        <v>458</v>
      </c>
      <c r="C8" s="147">
        <f>(ConvertMed_LowCst/160)*C28</f>
        <v>2977.0000432284114</v>
      </c>
      <c r="D8" s="148">
        <v>10</v>
      </c>
      <c r="E8" s="149">
        <v>0</v>
      </c>
      <c r="F8" s="150">
        <f>Nozzle_PeriodicRepl</f>
        <v>558.10500000000002</v>
      </c>
      <c r="G8" s="148">
        <v>5</v>
      </c>
      <c r="H8" s="158" t="s">
        <v>369</v>
      </c>
      <c r="I8"/>
      <c r="J8"/>
      <c r="K8"/>
      <c r="L8"/>
      <c r="N8" s="133"/>
      <c r="Y8"/>
      <c r="Z8"/>
      <c r="AA8"/>
      <c r="AB8"/>
      <c r="AC8"/>
      <c r="AD8"/>
      <c r="AE8"/>
      <c r="AF8"/>
      <c r="AG8"/>
      <c r="AH8"/>
      <c r="AI8"/>
    </row>
    <row r="9" spans="1:47">
      <c r="A9" s="125" t="str">
        <f t="shared" si="0"/>
        <v>Convert wheel line systems to low pressure systems on alfalfa acreage - Idaho</v>
      </c>
      <c r="B9" s="125" t="s">
        <v>471</v>
      </c>
      <c r="C9" s="147">
        <f>ConvertWheelLine_LowCst*C29</f>
        <v>20640.53363305032</v>
      </c>
      <c r="D9" s="148">
        <v>10</v>
      </c>
      <c r="E9" s="150">
        <f>WheelLine_OandM*C29</f>
        <v>595.40000864568231</v>
      </c>
      <c r="F9" s="150">
        <v>0</v>
      </c>
      <c r="G9" s="148"/>
      <c r="H9" s="158" t="s">
        <v>369</v>
      </c>
      <c r="I9"/>
      <c r="J9"/>
      <c r="K9"/>
      <c r="L9"/>
      <c r="N9" s="133"/>
      <c r="Y9"/>
      <c r="Z9"/>
      <c r="AA9"/>
      <c r="AB9"/>
      <c r="AC9"/>
      <c r="AD9"/>
      <c r="AE9"/>
      <c r="AF9"/>
      <c r="AG9"/>
      <c r="AH9"/>
      <c r="AI9"/>
    </row>
    <row r="10" spans="1:47" ht="13.5" thickBot="1">
      <c r="A10" s="126" t="str">
        <f t="shared" si="0"/>
        <v>Convert hand line systems to low pressure systems on alfalfa acreage - Idaho</v>
      </c>
      <c r="B10" s="126" t="s">
        <v>468</v>
      </c>
      <c r="C10" s="153">
        <f>ConvertHandLine_LowCst*C30</f>
        <v>4763.2000691654584</v>
      </c>
      <c r="D10" s="154">
        <v>10</v>
      </c>
      <c r="E10" s="155">
        <f>HandLine_OandM*C30</f>
        <v>1905.2800276661833</v>
      </c>
      <c r="F10" s="155">
        <v>0</v>
      </c>
      <c r="G10" s="154"/>
      <c r="H10" s="160" t="s">
        <v>369</v>
      </c>
      <c r="I10"/>
      <c r="J10"/>
      <c r="K10"/>
      <c r="L10"/>
      <c r="M10" s="136">
        <f>SUM(I7:I10)</f>
        <v>0</v>
      </c>
      <c r="N10" s="133"/>
      <c r="Y10"/>
      <c r="Z10"/>
      <c r="AA10"/>
      <c r="AB10"/>
      <c r="AC10"/>
      <c r="AD10"/>
      <c r="AE10"/>
      <c r="AF10"/>
      <c r="AG10"/>
      <c r="AH10"/>
      <c r="AI10"/>
    </row>
    <row r="11" spans="1:47">
      <c r="A11" s="127" t="str">
        <f t="shared" si="0"/>
        <v>Convert High Pressure Center Pivot to Low pressure system - Montana</v>
      </c>
      <c r="B11" s="127" t="s">
        <v>464</v>
      </c>
      <c r="C11" s="147">
        <f>(ConvertHi_LowCst/160)*C31</f>
        <v>8068.5394560303348</v>
      </c>
      <c r="D11" s="148">
        <f>D7</f>
        <v>10</v>
      </c>
      <c r="E11" s="149">
        <f t="shared" ref="E11" si="1">E7</f>
        <v>0</v>
      </c>
      <c r="F11" s="150"/>
      <c r="G11" s="148"/>
      <c r="H11" s="158" t="s">
        <v>370</v>
      </c>
      <c r="I11"/>
      <c r="J11"/>
      <c r="K11"/>
      <c r="L11"/>
      <c r="N11" s="133"/>
      <c r="P11" s="146"/>
      <c r="Y11"/>
      <c r="Z11"/>
      <c r="AA11"/>
      <c r="AB11"/>
      <c r="AC11"/>
      <c r="AD11"/>
      <c r="AE11"/>
      <c r="AF11"/>
      <c r="AG11"/>
      <c r="AH11"/>
      <c r="AI11"/>
    </row>
    <row r="12" spans="1:47">
      <c r="A12" s="127" t="str">
        <f t="shared" si="0"/>
        <v>Convert Medium Pressure Center Pivot to Low pressure system - Montana</v>
      </c>
      <c r="B12" s="127" t="s">
        <v>462</v>
      </c>
      <c r="C12" s="147">
        <f>(ConvertMed_LowCst/160)*C32</f>
        <v>3025.702296011375</v>
      </c>
      <c r="D12" s="148">
        <f>D8</f>
        <v>10</v>
      </c>
      <c r="E12" s="149">
        <f>E8</f>
        <v>0</v>
      </c>
      <c r="F12" s="150">
        <f>F8</f>
        <v>558.10500000000002</v>
      </c>
      <c r="G12" s="148">
        <f>G8</f>
        <v>5</v>
      </c>
      <c r="H12" s="158" t="s">
        <v>370</v>
      </c>
      <c r="I12"/>
      <c r="J12"/>
      <c r="K12"/>
      <c r="L12"/>
      <c r="N12" s="133"/>
      <c r="P12" s="146"/>
      <c r="Y12"/>
      <c r="Z12"/>
      <c r="AA12"/>
      <c r="AB12"/>
      <c r="AC12"/>
      <c r="AD12"/>
      <c r="AE12"/>
      <c r="AF12"/>
      <c r="AG12"/>
      <c r="AH12"/>
      <c r="AI12"/>
    </row>
    <row r="13" spans="1:47">
      <c r="A13" s="127" t="str">
        <f t="shared" si="0"/>
        <v>Convert wheel line systems to low pressure systems on alfalfa acreage - Montana</v>
      </c>
      <c r="B13" s="127" t="s">
        <v>472</v>
      </c>
      <c r="C13" s="147">
        <f>ConvertWheelLine_LowCst*C33</f>
        <v>20978.202585678868</v>
      </c>
      <c r="D13" s="148">
        <v>10</v>
      </c>
      <c r="E13" s="150">
        <f>WheelLine_OandM*C33</f>
        <v>605.140459202275</v>
      </c>
      <c r="F13" s="150">
        <v>0</v>
      </c>
      <c r="G13" s="148"/>
      <c r="H13" s="158" t="s">
        <v>370</v>
      </c>
      <c r="I13"/>
      <c r="J13"/>
      <c r="K13"/>
      <c r="L13"/>
      <c r="N13" s="133"/>
      <c r="P13" s="146"/>
      <c r="Y13"/>
      <c r="Z13"/>
      <c r="AA13"/>
      <c r="AB13"/>
      <c r="AC13"/>
      <c r="AD13"/>
      <c r="AE13"/>
      <c r="AF13"/>
      <c r="AG13"/>
      <c r="AH13"/>
      <c r="AI13"/>
    </row>
    <row r="14" spans="1:47" ht="13.5" thickBot="1">
      <c r="A14" s="128" t="str">
        <f t="shared" si="0"/>
        <v>Convert hand line systems to low pressure systems on alfalfa acreage - Montana</v>
      </c>
      <c r="B14" s="128" t="s">
        <v>470</v>
      </c>
      <c r="C14" s="153">
        <f>ConvertHandLine_LowCst*C34</f>
        <v>4841.1236736182</v>
      </c>
      <c r="D14" s="154">
        <v>10</v>
      </c>
      <c r="E14" s="155">
        <f>HandLine_OandM*C34</f>
        <v>1936.4494694472801</v>
      </c>
      <c r="F14" s="155">
        <v>0</v>
      </c>
      <c r="G14" s="154"/>
      <c r="H14" s="160" t="s">
        <v>370</v>
      </c>
      <c r="I14"/>
      <c r="J14"/>
      <c r="K14"/>
      <c r="L14"/>
      <c r="M14" s="136">
        <f>SUM(I11:I14)</f>
        <v>0</v>
      </c>
      <c r="N14" s="133"/>
      <c r="P14" s="146"/>
      <c r="Y14"/>
      <c r="Z14"/>
      <c r="AA14"/>
      <c r="AB14"/>
      <c r="AC14"/>
      <c r="AD14"/>
      <c r="AE14"/>
      <c r="AF14"/>
      <c r="AG14"/>
      <c r="AH14"/>
      <c r="AI14"/>
    </row>
    <row r="15" spans="1:47">
      <c r="A15" s="125" t="str">
        <f t="shared" si="0"/>
        <v>Convert High Pressure Center Pivot to Low pressure system - Oregon</v>
      </c>
      <c r="B15" s="125" t="s">
        <v>463</v>
      </c>
      <c r="C15" s="147">
        <f>(ConvertHi_LowCst/160)*C35</f>
        <v>3935.2655228108542</v>
      </c>
      <c r="D15" s="148">
        <f>D11</f>
        <v>10</v>
      </c>
      <c r="E15" s="149">
        <f t="shared" ref="E15" si="2">E11</f>
        <v>0</v>
      </c>
      <c r="F15" s="150"/>
      <c r="G15" s="148"/>
      <c r="H15" s="158" t="s">
        <v>374</v>
      </c>
      <c r="I15"/>
      <c r="J15"/>
      <c r="K15"/>
      <c r="L15"/>
      <c r="N15" s="133"/>
      <c r="P15" s="146"/>
      <c r="Y15"/>
      <c r="Z15"/>
      <c r="AA15"/>
      <c r="AB15"/>
      <c r="AC15"/>
      <c r="AD15"/>
      <c r="AE15"/>
      <c r="AF15"/>
      <c r="AG15"/>
      <c r="AH15"/>
      <c r="AI15"/>
    </row>
    <row r="16" spans="1:47">
      <c r="A16" s="125" t="str">
        <f t="shared" si="0"/>
        <v>Convert Medium Pressure Center Pivot to Low pressure system - Oregon</v>
      </c>
      <c r="B16" s="125" t="s">
        <v>459</v>
      </c>
      <c r="C16" s="147">
        <f>(ConvertMed_LowCst/160)*C36</f>
        <v>1475.7245710540701</v>
      </c>
      <c r="D16" s="148">
        <f>D12</f>
        <v>10</v>
      </c>
      <c r="E16" s="149">
        <f>E12</f>
        <v>0</v>
      </c>
      <c r="F16" s="150">
        <f>F12</f>
        <v>558.10500000000002</v>
      </c>
      <c r="G16" s="148">
        <f>G12</f>
        <v>5</v>
      </c>
      <c r="H16" s="158" t="s">
        <v>374</v>
      </c>
      <c r="I16"/>
      <c r="J16"/>
      <c r="K16"/>
      <c r="L16"/>
      <c r="N16" s="133"/>
      <c r="P16" s="146"/>
      <c r="Y16"/>
      <c r="Z16"/>
      <c r="AA16"/>
      <c r="AB16"/>
      <c r="AC16"/>
      <c r="AD16"/>
      <c r="AE16"/>
      <c r="AF16"/>
      <c r="AG16"/>
      <c r="AH16"/>
      <c r="AI16"/>
    </row>
    <row r="17" spans="1:35">
      <c r="A17" s="125" t="str">
        <f t="shared" si="0"/>
        <v>Convert wheel line systems to low pressure systems on alfalfa acreage - Oregon</v>
      </c>
      <c r="B17" s="125" t="s">
        <v>469</v>
      </c>
      <c r="C17" s="147">
        <f>ConvertWheelLine_LowCst*C37</f>
        <v>10231.690359308219</v>
      </c>
      <c r="D17" s="148">
        <v>10</v>
      </c>
      <c r="E17" s="150">
        <f>WheelLine_OandM*C37</f>
        <v>295.14491421081402</v>
      </c>
      <c r="F17" s="150">
        <v>0</v>
      </c>
      <c r="G17" s="148"/>
      <c r="H17" s="158" t="s">
        <v>374</v>
      </c>
      <c r="I17"/>
      <c r="J17"/>
      <c r="K17"/>
      <c r="L17"/>
      <c r="N17" s="133"/>
      <c r="P17" s="146"/>
      <c r="Y17"/>
      <c r="Z17"/>
      <c r="AA17"/>
      <c r="AB17"/>
      <c r="AC17"/>
      <c r="AD17"/>
      <c r="AE17"/>
      <c r="AF17"/>
      <c r="AG17"/>
      <c r="AH17"/>
      <c r="AI17"/>
    </row>
    <row r="18" spans="1:35" ht="13.5" thickBot="1">
      <c r="A18" s="126" t="str">
        <f t="shared" si="0"/>
        <v>Convert hand line systems to low pressure systems on alfalfa acreage - Oregon</v>
      </c>
      <c r="B18" s="126" t="s">
        <v>466</v>
      </c>
      <c r="C18" s="153">
        <f>ConvertHandLine_LowCst*C38</f>
        <v>2361.1593136865122</v>
      </c>
      <c r="D18" s="154">
        <v>10</v>
      </c>
      <c r="E18" s="155">
        <f>HandLine_OandM*C38</f>
        <v>944.46372547460487</v>
      </c>
      <c r="F18" s="155">
        <v>0</v>
      </c>
      <c r="G18" s="154"/>
      <c r="H18" s="160" t="s">
        <v>374</v>
      </c>
      <c r="I18"/>
      <c r="J18"/>
      <c r="K18"/>
      <c r="L18"/>
      <c r="M18" s="136">
        <f>SUM(I15:I18)</f>
        <v>0</v>
      </c>
      <c r="N18" s="133"/>
      <c r="P18" s="146"/>
      <c r="Y18"/>
      <c r="Z18"/>
      <c r="AA18"/>
      <c r="AB18"/>
      <c r="AC18"/>
      <c r="AD18"/>
      <c r="AE18"/>
      <c r="AF18"/>
      <c r="AG18"/>
      <c r="AH18"/>
      <c r="AI18"/>
    </row>
    <row r="19" spans="1:35">
      <c r="A19" s="127" t="str">
        <f t="shared" si="0"/>
        <v>Convert High Pressure Center Pivot to Low pressure system - Washington</v>
      </c>
      <c r="B19" s="127" t="s">
        <v>461</v>
      </c>
      <c r="C19" s="147">
        <f>(ConvertHi_LowCst/160)*C39</f>
        <v>5161.6377444407199</v>
      </c>
      <c r="D19" s="148">
        <f>D15</f>
        <v>10</v>
      </c>
      <c r="E19" s="149">
        <f t="shared" ref="E19" si="3">E15</f>
        <v>0</v>
      </c>
      <c r="F19" s="150"/>
      <c r="G19" s="148"/>
      <c r="H19" s="158" t="s">
        <v>375</v>
      </c>
      <c r="I19"/>
      <c r="J19"/>
      <c r="K19"/>
      <c r="L19"/>
      <c r="N19" s="133"/>
      <c r="P19" s="146"/>
      <c r="Y19"/>
      <c r="Z19"/>
      <c r="AA19"/>
      <c r="AB19"/>
      <c r="AC19"/>
      <c r="AD19"/>
      <c r="AE19"/>
      <c r="AF19"/>
      <c r="AG19"/>
      <c r="AH19"/>
      <c r="AI19"/>
    </row>
    <row r="20" spans="1:35">
      <c r="A20" s="127" t="str">
        <f t="shared" si="0"/>
        <v>Convert Medium Pressure Center Pivot to Low pressure system - Washington</v>
      </c>
      <c r="B20" s="127" t="s">
        <v>457</v>
      </c>
      <c r="C20" s="147">
        <f>(ConvertMed_LowCst/160)*C40</f>
        <v>1935.6141541652698</v>
      </c>
      <c r="D20" s="148">
        <f>D16</f>
        <v>10</v>
      </c>
      <c r="E20" s="149">
        <f>E16</f>
        <v>0</v>
      </c>
      <c r="F20" s="150">
        <f>F16</f>
        <v>558.10500000000002</v>
      </c>
      <c r="G20" s="148">
        <f>G16</f>
        <v>5</v>
      </c>
      <c r="H20" s="158" t="s">
        <v>375</v>
      </c>
      <c r="I20"/>
      <c r="J20"/>
      <c r="K20"/>
      <c r="L20"/>
      <c r="N20" s="133"/>
      <c r="P20" s="146"/>
      <c r="Y20"/>
      <c r="Z20"/>
      <c r="AA20"/>
      <c r="AB20"/>
      <c r="AC20"/>
      <c r="AD20"/>
      <c r="AE20"/>
      <c r="AF20"/>
      <c r="AG20"/>
      <c r="AH20"/>
      <c r="AI20"/>
    </row>
    <row r="21" spans="1:35">
      <c r="A21" s="127" t="str">
        <f t="shared" si="0"/>
        <v>Convert wheel line systems to low pressure systems on alfalfa acreage - Washington</v>
      </c>
      <c r="B21" s="127" t="s">
        <v>467</v>
      </c>
      <c r="C21" s="147">
        <f>ConvertWheelLine_LowCst*C41</f>
        <v>13420.258135545871</v>
      </c>
      <c r="D21" s="148">
        <v>10</v>
      </c>
      <c r="E21" s="150">
        <f>WheelLine_OandM*C41</f>
        <v>387.12283083305391</v>
      </c>
      <c r="F21" s="150">
        <v>0</v>
      </c>
      <c r="G21" s="148"/>
      <c r="H21" s="158" t="s">
        <v>375</v>
      </c>
      <c r="I21"/>
      <c r="J21"/>
      <c r="K21"/>
      <c r="L21"/>
      <c r="N21" s="133"/>
      <c r="P21" s="146"/>
      <c r="Y21"/>
      <c r="Z21"/>
      <c r="AA21"/>
      <c r="AB21"/>
      <c r="AC21"/>
      <c r="AD21"/>
      <c r="AE21"/>
      <c r="AF21"/>
      <c r="AG21"/>
      <c r="AH21"/>
      <c r="AI21"/>
    </row>
    <row r="22" spans="1:35" ht="13.5" thickBot="1">
      <c r="A22" s="128" t="str">
        <f t="shared" si="0"/>
        <v>Convert hand line systems to low pressure systems on alfalfa acreage - Washington</v>
      </c>
      <c r="B22" s="128" t="s">
        <v>465</v>
      </c>
      <c r="C22" s="153">
        <f>ConvertHandLine_LowCst*C42</f>
        <v>3096.9826466644313</v>
      </c>
      <c r="D22" s="154">
        <v>10</v>
      </c>
      <c r="E22" s="155">
        <f>HandLine_OandM*C42</f>
        <v>1238.7930586657726</v>
      </c>
      <c r="F22" s="155">
        <v>0</v>
      </c>
      <c r="G22" s="154"/>
      <c r="H22" s="160" t="s">
        <v>375</v>
      </c>
      <c r="I22"/>
      <c r="J22"/>
      <c r="K22"/>
      <c r="L22"/>
      <c r="M22" s="136">
        <f>SUM(I19:I22)</f>
        <v>0</v>
      </c>
      <c r="N22" s="133"/>
      <c r="P22" s="146"/>
      <c r="Y22"/>
      <c r="Z22"/>
      <c r="AA22"/>
      <c r="AB22"/>
      <c r="AC22"/>
      <c r="AD22"/>
      <c r="AE22"/>
      <c r="AF22"/>
      <c r="AG22"/>
      <c r="AH22"/>
      <c r="AI22"/>
    </row>
    <row r="23" spans="1:35">
      <c r="I23" s="136"/>
      <c r="N23" s="136"/>
      <c r="Y23"/>
      <c r="Z23"/>
      <c r="AA23"/>
      <c r="AB23"/>
      <c r="AC23"/>
      <c r="AD23"/>
      <c r="AE23"/>
      <c r="AF23"/>
      <c r="AG23"/>
      <c r="AH23"/>
      <c r="AI23"/>
    </row>
    <row r="24" spans="1:35" ht="13.5" thickBot="1"/>
    <row r="25" spans="1:35" ht="13.5" thickBot="1">
      <c r="A25" s="161" t="s">
        <v>376</v>
      </c>
      <c r="C25" s="130" t="s">
        <v>377</v>
      </c>
      <c r="D25" s="130" t="s">
        <v>378</v>
      </c>
      <c r="E25" s="130" t="s">
        <v>379</v>
      </c>
      <c r="F25" s="130" t="s">
        <v>380</v>
      </c>
      <c r="G25" s="130" t="s">
        <v>381</v>
      </c>
      <c r="H25" s="130" t="s">
        <v>382</v>
      </c>
      <c r="I25" s="130" t="s">
        <v>383</v>
      </c>
      <c r="J25" s="130" t="s">
        <v>384</v>
      </c>
      <c r="K25" s="130" t="s">
        <v>385</v>
      </c>
      <c r="L25" s="130" t="s">
        <v>386</v>
      </c>
      <c r="M25" s="134" t="s">
        <v>387</v>
      </c>
      <c r="N25" s="134" t="s">
        <v>388</v>
      </c>
      <c r="O25" s="134" t="s">
        <v>389</v>
      </c>
      <c r="P25" s="134" t="s">
        <v>390</v>
      </c>
      <c r="Q25" s="134" t="s">
        <v>391</v>
      </c>
      <c r="R25" s="134" t="s">
        <v>392</v>
      </c>
      <c r="S25" s="134" t="s">
        <v>393</v>
      </c>
      <c r="T25" s="134" t="s">
        <v>394</v>
      </c>
      <c r="U25" s="134" t="s">
        <v>395</v>
      </c>
      <c r="V25" s="134" t="s">
        <v>396</v>
      </c>
      <c r="W25" s="134" t="s">
        <v>397</v>
      </c>
      <c r="X25" s="134" t="s">
        <v>398</v>
      </c>
      <c r="Y25" s="134" t="s">
        <v>399</v>
      </c>
    </row>
    <row r="26" spans="1:35" ht="76.5">
      <c r="A26" s="140" t="s">
        <v>6</v>
      </c>
      <c r="B26" s="162" t="s">
        <v>247</v>
      </c>
      <c r="C26" s="144" t="s">
        <v>400</v>
      </c>
      <c r="D26" s="163" t="s">
        <v>401</v>
      </c>
      <c r="E26" s="164" t="s">
        <v>402</v>
      </c>
      <c r="F26" s="165" t="s">
        <v>403</v>
      </c>
      <c r="G26" s="142" t="s">
        <v>404</v>
      </c>
      <c r="H26" s="142" t="s">
        <v>405</v>
      </c>
      <c r="I26" s="142" t="s">
        <v>406</v>
      </c>
      <c r="J26" s="142" t="s">
        <v>407</v>
      </c>
      <c r="K26" s="142" t="s">
        <v>408</v>
      </c>
      <c r="L26" s="142" t="s">
        <v>409</v>
      </c>
      <c r="M26" s="142" t="s">
        <v>410</v>
      </c>
      <c r="N26" s="142" t="s">
        <v>411</v>
      </c>
      <c r="O26" s="142" t="s">
        <v>412</v>
      </c>
      <c r="P26" s="142" t="s">
        <v>413</v>
      </c>
      <c r="Q26" s="142" t="s">
        <v>414</v>
      </c>
      <c r="R26" s="142" t="s">
        <v>415</v>
      </c>
      <c r="S26" s="142" t="s">
        <v>416</v>
      </c>
      <c r="T26" s="142" t="s">
        <v>417</v>
      </c>
      <c r="U26" s="142" t="s">
        <v>418</v>
      </c>
      <c r="V26" s="142" t="s">
        <v>419</v>
      </c>
      <c r="W26" s="164" t="s">
        <v>420</v>
      </c>
      <c r="X26" s="144" t="s">
        <v>421</v>
      </c>
      <c r="Y26" s="144" t="s">
        <v>422</v>
      </c>
      <c r="Z26"/>
      <c r="AA26"/>
    </row>
    <row r="27" spans="1:35">
      <c r="A27" s="125" t="str">
        <f t="shared" ref="A27:B30" si="4">A7</f>
        <v>Convert High Pressure Center Pivot to Low pressure system - Idaho</v>
      </c>
      <c r="B27" s="168" t="str">
        <f t="shared" si="4"/>
        <v>Convert High Pressure Center Pivot to Low pressure system - Idaho</v>
      </c>
      <c r="C27" s="169">
        <f>Assump!$B$9</f>
        <v>123.75162559536136</v>
      </c>
      <c r="D27" s="169">
        <f>PumpDepthID</f>
        <v>201</v>
      </c>
      <c r="E27" s="148">
        <v>25</v>
      </c>
      <c r="F27" s="166">
        <v>924.78851383922597</v>
      </c>
      <c r="G27" s="148">
        <v>10</v>
      </c>
      <c r="H27" s="148">
        <v>5</v>
      </c>
      <c r="I27" s="166">
        <f>PumpPSIID</f>
        <v>62</v>
      </c>
      <c r="J27" s="170">
        <f t="shared" ref="J27:J42" si="5">D27+E27+G27+H27+(I27*2.31)</f>
        <v>384.22</v>
      </c>
      <c r="K27" s="170">
        <f t="shared" ref="K27:K42" si="6">J27*F27/3960</f>
        <v>89.727839087703899</v>
      </c>
      <c r="L27" s="171">
        <f>PreWaterUseID*12</f>
        <v>19.200000000000003</v>
      </c>
      <c r="M27" s="167">
        <v>0.2</v>
      </c>
      <c r="N27" s="171">
        <f t="shared" ref="N27:N42" si="7">L27*(1+M27)</f>
        <v>23.040000000000003</v>
      </c>
      <c r="O27" s="167">
        <v>0.65</v>
      </c>
      <c r="P27" s="170">
        <f t="shared" ref="P27:P42" si="8">K27/O27</f>
        <v>138.04282936569831</v>
      </c>
      <c r="Q27" s="170">
        <f t="shared" ref="Q27:Q42" si="9">P27/0.9</f>
        <v>153.38092151744257</v>
      </c>
      <c r="R27" s="170">
        <f t="shared" ref="R27:R42" si="10">N27*C27/(F27/452.6)</f>
        <v>1395.4218204928084</v>
      </c>
      <c r="S27" s="170">
        <f>Q27*0.746</f>
        <v>114.42216745201216</v>
      </c>
      <c r="T27" s="172">
        <f>R27*S27</f>
        <v>159667.18921061978</v>
      </c>
      <c r="U27" s="172">
        <f>(C27*$Q$4*N27)/$Q$3</f>
        <v>237.60312114309386</v>
      </c>
      <c r="V27" s="173">
        <f t="shared" ref="V27:V42" si="11">U27/C27</f>
        <v>1.9200000000000004</v>
      </c>
      <c r="W27" s="174">
        <f>T27/U27</f>
        <v>671.99112723128735</v>
      </c>
      <c r="X27" s="176"/>
      <c r="Y27" s="175">
        <f t="shared" ref="Y27:Y42" si="12">T27/C27</f>
        <v>1290.2229642840721</v>
      </c>
    </row>
    <row r="28" spans="1:35">
      <c r="A28" s="125" t="str">
        <f t="shared" si="4"/>
        <v>Convert Medium Pressure Center Pivot to Low pressure system - Idaho</v>
      </c>
      <c r="B28" s="168" t="str">
        <f t="shared" si="4"/>
        <v>Convert Medium Pressure Center Pivot to Low pressure system - Idaho</v>
      </c>
      <c r="C28" s="169">
        <f>Assump!$B$9</f>
        <v>123.75162559536136</v>
      </c>
      <c r="D28" s="169">
        <f>PumpDepthID</f>
        <v>201</v>
      </c>
      <c r="E28" s="148">
        <v>25</v>
      </c>
      <c r="F28" s="166">
        <f>F27</f>
        <v>924.78851383922597</v>
      </c>
      <c r="G28" s="148">
        <v>10</v>
      </c>
      <c r="H28" s="148">
        <v>5</v>
      </c>
      <c r="I28" s="166">
        <v>40</v>
      </c>
      <c r="J28" s="170">
        <f t="shared" si="5"/>
        <v>333.4</v>
      </c>
      <c r="K28" s="170">
        <f t="shared" si="6"/>
        <v>77.859719826767147</v>
      </c>
      <c r="L28" s="171">
        <f>PreWaterUseID*12</f>
        <v>19.200000000000003</v>
      </c>
      <c r="M28" s="167">
        <f>$M$27</f>
        <v>0.2</v>
      </c>
      <c r="N28" s="171">
        <f t="shared" si="7"/>
        <v>23.040000000000003</v>
      </c>
      <c r="O28" s="167">
        <v>0.65</v>
      </c>
      <c r="P28" s="170">
        <f t="shared" si="8"/>
        <v>119.78418434887253</v>
      </c>
      <c r="Q28" s="170">
        <f t="shared" si="9"/>
        <v>133.09353816541392</v>
      </c>
      <c r="R28" s="170">
        <f t="shared" si="10"/>
        <v>1395.4218204928084</v>
      </c>
      <c r="S28" s="170">
        <f t="shared" ref="S28:S42" si="13">Q28*0.746</f>
        <v>99.287779471398778</v>
      </c>
      <c r="T28" s="172">
        <f t="shared" ref="T28:T42" si="14">R28*S28</f>
        <v>138548.33398266777</v>
      </c>
      <c r="U28" s="172">
        <f t="shared" ref="U28:U42" si="15">(C28*$Q$4*N28)/$Q$3</f>
        <v>237.60312114309386</v>
      </c>
      <c r="V28" s="173">
        <f t="shared" si="11"/>
        <v>1.9200000000000004</v>
      </c>
      <c r="W28" s="174">
        <f t="shared" ref="W28:W42" si="16">T28/U28</f>
        <v>583.10822398342384</v>
      </c>
      <c r="X28" s="177"/>
      <c r="Y28" s="175">
        <f t="shared" si="12"/>
        <v>1119.5677900481739</v>
      </c>
    </row>
    <row r="29" spans="1:35">
      <c r="A29" s="125" t="str">
        <f t="shared" si="4"/>
        <v>Convert wheel line systems to low pressure systems on alfalfa acreage - Idaho</v>
      </c>
      <c r="B29" s="168" t="str">
        <f t="shared" si="4"/>
        <v>Convert wheel line systems to low pressure systems on alfalfa acreage - Idaho</v>
      </c>
      <c r="C29" s="169">
        <f>Assump!$B$9</f>
        <v>123.75162559536136</v>
      </c>
      <c r="D29" s="169">
        <f>PumpDepthID</f>
        <v>201</v>
      </c>
      <c r="E29" s="148">
        <v>5</v>
      </c>
      <c r="F29" s="166">
        <f>F28</f>
        <v>924.78851383922597</v>
      </c>
      <c r="G29" s="148">
        <v>5</v>
      </c>
      <c r="H29" s="148">
        <v>5</v>
      </c>
      <c r="I29" s="166">
        <f>PumpPSIID</f>
        <v>62</v>
      </c>
      <c r="J29" s="170">
        <f t="shared" si="5"/>
        <v>359.22</v>
      </c>
      <c r="K29" s="170">
        <f t="shared" si="6"/>
        <v>83.889527762961308</v>
      </c>
      <c r="L29" s="171">
        <f>'[2]Water Applied by Crop'!$I$9*12</f>
        <v>22.799999999999997</v>
      </c>
      <c r="M29" s="167">
        <f t="shared" ref="M29:M30" si="17">$M$27</f>
        <v>0.2</v>
      </c>
      <c r="N29" s="171">
        <f t="shared" si="7"/>
        <v>27.359999999999996</v>
      </c>
      <c r="O29" s="167">
        <v>0.65</v>
      </c>
      <c r="P29" s="170">
        <f t="shared" si="8"/>
        <v>129.0608119430174</v>
      </c>
      <c r="Q29" s="170">
        <f t="shared" si="9"/>
        <v>143.40090215890822</v>
      </c>
      <c r="R29" s="170">
        <f t="shared" si="10"/>
        <v>1657.0634118352095</v>
      </c>
      <c r="S29" s="170">
        <f t="shared" si="13"/>
        <v>106.97707301054554</v>
      </c>
      <c r="T29" s="172">
        <f t="shared" si="14"/>
        <v>177267.79359099889</v>
      </c>
      <c r="U29" s="172">
        <f t="shared" si="15"/>
        <v>282.15370635742386</v>
      </c>
      <c r="V29" s="173">
        <f t="shared" si="11"/>
        <v>2.2799999999999998</v>
      </c>
      <c r="W29" s="174">
        <f t="shared" si="16"/>
        <v>628.26675530691546</v>
      </c>
      <c r="X29" s="176"/>
      <c r="Y29" s="175">
        <f t="shared" si="12"/>
        <v>1432.4482020997671</v>
      </c>
    </row>
    <row r="30" spans="1:35" ht="13.5" thickBot="1">
      <c r="A30" s="126" t="str">
        <f t="shared" si="4"/>
        <v>Convert hand line systems to low pressure systems on alfalfa acreage - Idaho</v>
      </c>
      <c r="B30" s="178" t="str">
        <f t="shared" si="4"/>
        <v>Convert hand line systems to low pressure systems on alfalfa acreage - Idaho</v>
      </c>
      <c r="C30" s="179">
        <f>Assump!$B$9</f>
        <v>123.75162559536136</v>
      </c>
      <c r="D30" s="179">
        <f>PumpDepthID</f>
        <v>201</v>
      </c>
      <c r="E30" s="154">
        <v>5</v>
      </c>
      <c r="F30" s="195">
        <f>F29</f>
        <v>924.78851383922597</v>
      </c>
      <c r="G30" s="154">
        <v>5</v>
      </c>
      <c r="H30" s="154">
        <v>5</v>
      </c>
      <c r="I30" s="180">
        <f>PumpPSIID</f>
        <v>62</v>
      </c>
      <c r="J30" s="181">
        <f t="shared" si="5"/>
        <v>359.22</v>
      </c>
      <c r="K30" s="181">
        <f t="shared" si="6"/>
        <v>83.889527762961308</v>
      </c>
      <c r="L30" s="195">
        <f>'[2]Water Applied by Crop'!$I$9*12</f>
        <v>22.799999999999997</v>
      </c>
      <c r="M30" s="182">
        <f t="shared" si="17"/>
        <v>0.2</v>
      </c>
      <c r="N30" s="195">
        <f t="shared" si="7"/>
        <v>27.359999999999996</v>
      </c>
      <c r="O30" s="182">
        <v>0.65</v>
      </c>
      <c r="P30" s="181">
        <f t="shared" si="8"/>
        <v>129.0608119430174</v>
      </c>
      <c r="Q30" s="181">
        <f t="shared" si="9"/>
        <v>143.40090215890822</v>
      </c>
      <c r="R30" s="181">
        <f t="shared" si="10"/>
        <v>1657.0634118352095</v>
      </c>
      <c r="S30" s="181">
        <f t="shared" si="13"/>
        <v>106.97707301054554</v>
      </c>
      <c r="T30" s="183">
        <f t="shared" si="14"/>
        <v>177267.79359099889</v>
      </c>
      <c r="U30" s="183">
        <f t="shared" si="15"/>
        <v>282.15370635742386</v>
      </c>
      <c r="V30" s="184">
        <f t="shared" si="11"/>
        <v>2.2799999999999998</v>
      </c>
      <c r="W30" s="185">
        <f t="shared" si="16"/>
        <v>628.26675530691546</v>
      </c>
      <c r="X30" s="186"/>
      <c r="Y30" s="187">
        <f t="shared" si="12"/>
        <v>1432.4482020997671</v>
      </c>
    </row>
    <row r="31" spans="1:35">
      <c r="A31" s="157" t="str">
        <f t="shared" ref="A31:B34" si="18">A11</f>
        <v>Convert High Pressure Center Pivot to Low pressure system - Montana</v>
      </c>
      <c r="B31" s="157" t="str">
        <f t="shared" si="18"/>
        <v>Convert High Pressure Center Pivot to Low pressure system - Montana</v>
      </c>
      <c r="C31" s="169">
        <v>125.7761411696077</v>
      </c>
      <c r="D31" s="220">
        <f>PumpDepthMT</f>
        <v>88</v>
      </c>
      <c r="E31" s="221">
        <v>5</v>
      </c>
      <c r="F31" s="222">
        <v>718.68929657984518</v>
      </c>
      <c r="G31" s="221">
        <v>5</v>
      </c>
      <c r="H31" s="221">
        <v>5</v>
      </c>
      <c r="I31" s="222">
        <f>PumpPSIMT</f>
        <v>62</v>
      </c>
      <c r="J31" s="223">
        <f t="shared" si="5"/>
        <v>246.22</v>
      </c>
      <c r="K31" s="223">
        <f t="shared" si="6"/>
        <v>44.685777425224614</v>
      </c>
      <c r="L31" s="224">
        <f>PreWaterUseMT*12</f>
        <v>13.200000000000001</v>
      </c>
      <c r="M31" s="225">
        <v>0.15</v>
      </c>
      <c r="N31" s="224">
        <f t="shared" si="7"/>
        <v>15.18</v>
      </c>
      <c r="O31" s="225">
        <v>0.65</v>
      </c>
      <c r="P31" s="223">
        <f t="shared" si="8"/>
        <v>68.74734988496094</v>
      </c>
      <c r="Q31" s="223">
        <f t="shared" si="9"/>
        <v>76.385944316623267</v>
      </c>
      <c r="R31" s="223">
        <f t="shared" si="10"/>
        <v>1202.3846148559801</v>
      </c>
      <c r="S31" s="223">
        <f t="shared" si="13"/>
        <v>56.983914460200957</v>
      </c>
      <c r="T31" s="226">
        <f t="shared" si="14"/>
        <v>68516.582041214846</v>
      </c>
      <c r="U31" s="226">
        <f t="shared" si="15"/>
        <v>159.10681857955373</v>
      </c>
      <c r="V31" s="227">
        <f t="shared" si="11"/>
        <v>1.2649999999999999</v>
      </c>
      <c r="W31" s="228">
        <f t="shared" si="16"/>
        <v>430.63259420875426</v>
      </c>
      <c r="X31" s="229"/>
      <c r="Y31" s="175">
        <f t="shared" si="12"/>
        <v>544.75023167407414</v>
      </c>
    </row>
    <row r="32" spans="1:35">
      <c r="A32" s="157" t="str">
        <f t="shared" si="18"/>
        <v>Convert Medium Pressure Center Pivot to Low pressure system - Montana</v>
      </c>
      <c r="B32" s="157" t="str">
        <f t="shared" si="18"/>
        <v>Convert Medium Pressure Center Pivot to Low pressure system - Montana</v>
      </c>
      <c r="C32" s="169">
        <v>125.7761411696077</v>
      </c>
      <c r="D32" s="169">
        <f>PumpDepthMT</f>
        <v>88</v>
      </c>
      <c r="E32" s="148">
        <v>5</v>
      </c>
      <c r="F32" s="166">
        <f>F31</f>
        <v>718.68929657984518</v>
      </c>
      <c r="G32" s="148">
        <v>5</v>
      </c>
      <c r="H32" s="148">
        <v>5</v>
      </c>
      <c r="I32" s="166">
        <v>40</v>
      </c>
      <c r="J32" s="170">
        <f t="shared" si="5"/>
        <v>195.4</v>
      </c>
      <c r="K32" s="170">
        <f t="shared" si="6"/>
        <v>35.462598119116606</v>
      </c>
      <c r="L32" s="171">
        <f>PreWaterUseMT*12</f>
        <v>13.200000000000001</v>
      </c>
      <c r="M32" s="167">
        <f>$M$31</f>
        <v>0.15</v>
      </c>
      <c r="N32" s="171">
        <f t="shared" si="7"/>
        <v>15.18</v>
      </c>
      <c r="O32" s="167">
        <v>0.65</v>
      </c>
      <c r="P32" s="170">
        <f t="shared" si="8"/>
        <v>54.557843260179389</v>
      </c>
      <c r="Q32" s="170">
        <f t="shared" si="9"/>
        <v>60.619825844643763</v>
      </c>
      <c r="R32" s="170">
        <f t="shared" si="10"/>
        <v>1202.3846148559801</v>
      </c>
      <c r="S32" s="170">
        <f t="shared" si="13"/>
        <v>45.222390080104248</v>
      </c>
      <c r="T32" s="172">
        <f t="shared" si="14"/>
        <v>54374.706079333038</v>
      </c>
      <c r="U32" s="172">
        <f t="shared" si="15"/>
        <v>159.10681857955373</v>
      </c>
      <c r="V32" s="173">
        <f t="shared" si="11"/>
        <v>1.2649999999999999</v>
      </c>
      <c r="W32" s="174">
        <f t="shared" si="16"/>
        <v>341.74969096089097</v>
      </c>
      <c r="X32" s="177"/>
      <c r="Y32" s="175">
        <f t="shared" si="12"/>
        <v>432.3133590655271</v>
      </c>
    </row>
    <row r="33" spans="1:25">
      <c r="A33" s="157" t="str">
        <f t="shared" si="18"/>
        <v>Convert wheel line systems to low pressure systems on alfalfa acreage - Montana</v>
      </c>
      <c r="B33" s="157" t="str">
        <f t="shared" si="18"/>
        <v>Convert wheel line systems to low pressure systems on alfalfa acreage - Montana</v>
      </c>
      <c r="C33" s="169">
        <v>125.7761411696077</v>
      </c>
      <c r="D33" s="169">
        <f>PumpDepthMT</f>
        <v>88</v>
      </c>
      <c r="E33" s="148">
        <v>5</v>
      </c>
      <c r="F33" s="166">
        <f>F32</f>
        <v>718.68929657984518</v>
      </c>
      <c r="G33" s="148">
        <v>5</v>
      </c>
      <c r="H33" s="148">
        <v>5</v>
      </c>
      <c r="I33" s="166">
        <f>PumpPSIMT</f>
        <v>62</v>
      </c>
      <c r="J33" s="170">
        <f t="shared" si="5"/>
        <v>246.22</v>
      </c>
      <c r="K33" s="170">
        <f t="shared" si="6"/>
        <v>44.685777425224614</v>
      </c>
      <c r="L33" s="171">
        <f>'[2]Water Applied by Crop'!$I$10*12</f>
        <v>16.799999999999997</v>
      </c>
      <c r="M33" s="167">
        <f t="shared" ref="M33:M34" si="19">$M$31</f>
        <v>0.15</v>
      </c>
      <c r="N33" s="171">
        <f t="shared" si="7"/>
        <v>19.319999999999997</v>
      </c>
      <c r="O33" s="167">
        <v>0.65</v>
      </c>
      <c r="P33" s="170">
        <f t="shared" si="8"/>
        <v>68.74734988496094</v>
      </c>
      <c r="Q33" s="170">
        <f t="shared" si="9"/>
        <v>76.385944316623267</v>
      </c>
      <c r="R33" s="170">
        <f t="shared" si="10"/>
        <v>1530.3076916348832</v>
      </c>
      <c r="S33" s="170">
        <f t="shared" si="13"/>
        <v>56.983914460200957</v>
      </c>
      <c r="T33" s="172">
        <f t="shared" si="14"/>
        <v>87202.922597909768</v>
      </c>
      <c r="U33" s="172">
        <f t="shared" si="15"/>
        <v>202.49958728306837</v>
      </c>
      <c r="V33" s="173">
        <f t="shared" si="11"/>
        <v>1.6099999999999999</v>
      </c>
      <c r="W33" s="174">
        <f t="shared" si="16"/>
        <v>430.63259420875414</v>
      </c>
      <c r="X33" s="176"/>
      <c r="Y33" s="175">
        <f t="shared" si="12"/>
        <v>693.31847667609406</v>
      </c>
    </row>
    <row r="34" spans="1:25" ht="13.5" thickBot="1">
      <c r="A34" s="159" t="str">
        <f t="shared" si="18"/>
        <v>Convert hand line systems to low pressure systems on alfalfa acreage - Montana</v>
      </c>
      <c r="B34" s="159" t="str">
        <f t="shared" si="18"/>
        <v>Convert hand line systems to low pressure systems on alfalfa acreage - Montana</v>
      </c>
      <c r="C34" s="179">
        <v>125.7761411696077</v>
      </c>
      <c r="D34" s="179">
        <f>PumpDepthMT</f>
        <v>88</v>
      </c>
      <c r="E34" s="154">
        <v>5</v>
      </c>
      <c r="F34" s="180">
        <f>F33</f>
        <v>718.68929657984518</v>
      </c>
      <c r="G34" s="154">
        <v>5</v>
      </c>
      <c r="H34" s="154">
        <v>5</v>
      </c>
      <c r="I34" s="180">
        <f>PumpPSIMT</f>
        <v>62</v>
      </c>
      <c r="J34" s="181">
        <f t="shared" si="5"/>
        <v>246.22</v>
      </c>
      <c r="K34" s="181">
        <f t="shared" si="6"/>
        <v>44.685777425224614</v>
      </c>
      <c r="L34" s="195">
        <f>'[2]Water Applied by Crop'!$I$10*12</f>
        <v>16.799999999999997</v>
      </c>
      <c r="M34" s="182">
        <f t="shared" si="19"/>
        <v>0.15</v>
      </c>
      <c r="N34" s="195">
        <f t="shared" si="7"/>
        <v>19.319999999999997</v>
      </c>
      <c r="O34" s="182">
        <v>0.65</v>
      </c>
      <c r="P34" s="181">
        <f t="shared" si="8"/>
        <v>68.74734988496094</v>
      </c>
      <c r="Q34" s="181">
        <f t="shared" si="9"/>
        <v>76.385944316623267</v>
      </c>
      <c r="R34" s="181">
        <f t="shared" si="10"/>
        <v>1530.3076916348832</v>
      </c>
      <c r="S34" s="181">
        <f t="shared" si="13"/>
        <v>56.983914460200957</v>
      </c>
      <c r="T34" s="183">
        <f t="shared" si="14"/>
        <v>87202.922597909768</v>
      </c>
      <c r="U34" s="183">
        <f t="shared" si="15"/>
        <v>202.49958728306837</v>
      </c>
      <c r="V34" s="184">
        <f t="shared" si="11"/>
        <v>1.6099999999999999</v>
      </c>
      <c r="W34" s="196">
        <f t="shared" si="16"/>
        <v>430.63259420875414</v>
      </c>
      <c r="X34" s="186"/>
      <c r="Y34" s="187">
        <f t="shared" si="12"/>
        <v>693.31847667609406</v>
      </c>
    </row>
    <row r="35" spans="1:25">
      <c r="A35" s="125" t="str">
        <f t="shared" ref="A35:B38" si="20">A15</f>
        <v>Convert High Pressure Center Pivot to Low pressure system - Oregon</v>
      </c>
      <c r="B35" s="168" t="str">
        <f t="shared" si="20"/>
        <v>Convert High Pressure Center Pivot to Low pressure system - Oregon</v>
      </c>
      <c r="C35" s="169">
        <f>Assump!$D$9</f>
        <v>61.344747043037472</v>
      </c>
      <c r="D35" s="220">
        <f>PumpDepthOR</f>
        <v>119</v>
      </c>
      <c r="E35" s="221">
        <v>40</v>
      </c>
      <c r="F35" s="222">
        <v>463.76594019630954</v>
      </c>
      <c r="G35" s="221">
        <v>10</v>
      </c>
      <c r="H35" s="221">
        <v>5</v>
      </c>
      <c r="I35" s="220">
        <f>PumpPSIOR</f>
        <v>63</v>
      </c>
      <c r="J35" s="223">
        <f t="shared" si="5"/>
        <v>319.52999999999997</v>
      </c>
      <c r="K35" s="223">
        <f t="shared" si="6"/>
        <v>37.420992644173431</v>
      </c>
      <c r="L35" s="224">
        <f>PreWaterUseOR*12</f>
        <v>18</v>
      </c>
      <c r="M35" s="225">
        <v>0.15</v>
      </c>
      <c r="N35" s="224">
        <f t="shared" si="7"/>
        <v>20.7</v>
      </c>
      <c r="O35" s="225">
        <v>0.65</v>
      </c>
      <c r="P35" s="223">
        <f t="shared" si="8"/>
        <v>57.570757914112967</v>
      </c>
      <c r="Q35" s="223">
        <f t="shared" si="9"/>
        <v>63.967508793458848</v>
      </c>
      <c r="R35" s="223">
        <f t="shared" si="10"/>
        <v>1239.2628332051966</v>
      </c>
      <c r="S35" s="223">
        <f t="shared" si="13"/>
        <v>47.7197615599203</v>
      </c>
      <c r="T35" s="226">
        <f t="shared" si="14"/>
        <v>59137.326910623262</v>
      </c>
      <c r="U35" s="226">
        <f t="shared" si="15"/>
        <v>105.81968864923964</v>
      </c>
      <c r="V35" s="227">
        <f t="shared" si="11"/>
        <v>1.7249999999999999</v>
      </c>
      <c r="W35" s="228">
        <f t="shared" si="16"/>
        <v>558.84994243978235</v>
      </c>
      <c r="X35" s="176"/>
      <c r="Y35" s="175">
        <f t="shared" si="12"/>
        <v>964.01615070862454</v>
      </c>
    </row>
    <row r="36" spans="1:25">
      <c r="A36" s="125" t="str">
        <f t="shared" si="20"/>
        <v>Convert Medium Pressure Center Pivot to Low pressure system - Oregon</v>
      </c>
      <c r="B36" s="168" t="str">
        <f t="shared" si="20"/>
        <v>Convert Medium Pressure Center Pivot to Low pressure system - Oregon</v>
      </c>
      <c r="C36" s="169">
        <f>Assump!$D$9</f>
        <v>61.344747043037472</v>
      </c>
      <c r="D36" s="169">
        <f>PumpDepthOR</f>
        <v>119</v>
      </c>
      <c r="E36" s="148">
        <v>40</v>
      </c>
      <c r="F36" s="166">
        <f>F35</f>
        <v>463.76594019630954</v>
      </c>
      <c r="G36" s="148">
        <v>10</v>
      </c>
      <c r="H36" s="148">
        <v>5</v>
      </c>
      <c r="I36" s="166">
        <v>40</v>
      </c>
      <c r="J36" s="170">
        <f t="shared" si="5"/>
        <v>266.39999999999998</v>
      </c>
      <c r="K36" s="170">
        <f t="shared" si="6"/>
        <v>31.198799613206276</v>
      </c>
      <c r="L36" s="171">
        <f>PreWaterUseOR*12</f>
        <v>18</v>
      </c>
      <c r="M36" s="167">
        <f>$M$35</f>
        <v>0.15</v>
      </c>
      <c r="N36" s="171">
        <f t="shared" si="7"/>
        <v>20.7</v>
      </c>
      <c r="O36" s="167">
        <v>0.65</v>
      </c>
      <c r="P36" s="170">
        <f t="shared" si="8"/>
        <v>47.998153251086578</v>
      </c>
      <c r="Q36" s="170">
        <f t="shared" si="9"/>
        <v>53.331281390096194</v>
      </c>
      <c r="R36" s="170">
        <f t="shared" si="10"/>
        <v>1239.2628332051966</v>
      </c>
      <c r="S36" s="170">
        <f t="shared" si="13"/>
        <v>39.785135917011758</v>
      </c>
      <c r="T36" s="172">
        <f t="shared" si="14"/>
        <v>49304.240255969817</v>
      </c>
      <c r="U36" s="172">
        <f t="shared" si="15"/>
        <v>105.81968864923964</v>
      </c>
      <c r="V36" s="173">
        <f t="shared" si="11"/>
        <v>1.7249999999999999</v>
      </c>
      <c r="W36" s="174">
        <f t="shared" si="16"/>
        <v>465.92690722610712</v>
      </c>
      <c r="X36" s="177"/>
      <c r="Y36" s="175">
        <f t="shared" si="12"/>
        <v>803.72391496503474</v>
      </c>
    </row>
    <row r="37" spans="1:25">
      <c r="A37" s="125" t="str">
        <f t="shared" si="20"/>
        <v>Convert wheel line systems to low pressure systems on alfalfa acreage - Oregon</v>
      </c>
      <c r="B37" s="168" t="str">
        <f t="shared" si="20"/>
        <v>Convert wheel line systems to low pressure systems on alfalfa acreage - Oregon</v>
      </c>
      <c r="C37" s="169">
        <f>Assump!$D$9</f>
        <v>61.344747043037472</v>
      </c>
      <c r="D37" s="169">
        <f>PumpDepthOR</f>
        <v>119</v>
      </c>
      <c r="E37" s="148">
        <v>5</v>
      </c>
      <c r="F37" s="166">
        <f>F36</f>
        <v>463.76594019630954</v>
      </c>
      <c r="G37" s="148">
        <v>5</v>
      </c>
      <c r="H37" s="148">
        <v>5</v>
      </c>
      <c r="I37" s="166">
        <f>PumpPSIOR</f>
        <v>63</v>
      </c>
      <c r="J37" s="170">
        <f t="shared" si="5"/>
        <v>279.52999999999997</v>
      </c>
      <c r="K37" s="170">
        <f t="shared" si="6"/>
        <v>32.736488197746063</v>
      </c>
      <c r="L37" s="171">
        <f>'[2]Water Applied by Crop'!$I$11*12</f>
        <v>28.799999999999997</v>
      </c>
      <c r="M37" s="167">
        <f t="shared" ref="M37:M38" si="21">$M$35</f>
        <v>0.15</v>
      </c>
      <c r="N37" s="171">
        <f t="shared" si="7"/>
        <v>33.119999999999997</v>
      </c>
      <c r="O37" s="167">
        <v>0.65</v>
      </c>
      <c r="P37" s="170">
        <f t="shared" si="8"/>
        <v>50.3638279965324</v>
      </c>
      <c r="Q37" s="170">
        <f t="shared" si="9"/>
        <v>55.959808885035997</v>
      </c>
      <c r="R37" s="170">
        <f t="shared" si="10"/>
        <v>1982.8205331283145</v>
      </c>
      <c r="S37" s="170">
        <f t="shared" si="13"/>
        <v>41.746017428236854</v>
      </c>
      <c r="T37" s="172">
        <f t="shared" si="14"/>
        <v>82774.860533040512</v>
      </c>
      <c r="U37" s="172">
        <f t="shared" si="15"/>
        <v>169.31150183878344</v>
      </c>
      <c r="V37" s="173">
        <f t="shared" si="11"/>
        <v>2.7600000000000002</v>
      </c>
      <c r="W37" s="174">
        <f t="shared" si="16"/>
        <v>488.89094736078727</v>
      </c>
      <c r="X37" s="176"/>
      <c r="Y37" s="175">
        <f t="shared" si="12"/>
        <v>1349.3390147157729</v>
      </c>
    </row>
    <row r="38" spans="1:25" ht="13.5" thickBot="1">
      <c r="A38" s="126" t="str">
        <f t="shared" si="20"/>
        <v>Convert hand line systems to low pressure systems on alfalfa acreage - Oregon</v>
      </c>
      <c r="B38" s="178" t="str">
        <f t="shared" si="20"/>
        <v>Convert hand line systems to low pressure systems on alfalfa acreage - Oregon</v>
      </c>
      <c r="C38" s="179">
        <f>Assump!$D$9</f>
        <v>61.344747043037472</v>
      </c>
      <c r="D38" s="179">
        <f>PumpDepthOR</f>
        <v>119</v>
      </c>
      <c r="E38" s="154">
        <v>5</v>
      </c>
      <c r="F38" s="180">
        <f>F37</f>
        <v>463.76594019630954</v>
      </c>
      <c r="G38" s="154">
        <v>5</v>
      </c>
      <c r="H38" s="154">
        <v>5</v>
      </c>
      <c r="I38" s="180">
        <f>PumpPSIOR</f>
        <v>63</v>
      </c>
      <c r="J38" s="181">
        <f t="shared" si="5"/>
        <v>279.52999999999997</v>
      </c>
      <c r="K38" s="181">
        <f t="shared" si="6"/>
        <v>32.736488197746063</v>
      </c>
      <c r="L38" s="195">
        <f>'[2]Water Applied by Crop'!$I$11*12</f>
        <v>28.799999999999997</v>
      </c>
      <c r="M38" s="182">
        <f t="shared" si="21"/>
        <v>0.15</v>
      </c>
      <c r="N38" s="195">
        <f t="shared" si="7"/>
        <v>33.119999999999997</v>
      </c>
      <c r="O38" s="182">
        <v>0.65</v>
      </c>
      <c r="P38" s="181">
        <f t="shared" si="8"/>
        <v>50.3638279965324</v>
      </c>
      <c r="Q38" s="181">
        <f t="shared" si="9"/>
        <v>55.959808885035997</v>
      </c>
      <c r="R38" s="181">
        <f t="shared" si="10"/>
        <v>1982.8205331283145</v>
      </c>
      <c r="S38" s="181">
        <f t="shared" si="13"/>
        <v>41.746017428236854</v>
      </c>
      <c r="T38" s="183">
        <f t="shared" si="14"/>
        <v>82774.860533040512</v>
      </c>
      <c r="U38" s="183">
        <f t="shared" si="15"/>
        <v>169.31150183878344</v>
      </c>
      <c r="V38" s="184">
        <f t="shared" si="11"/>
        <v>2.7600000000000002</v>
      </c>
      <c r="W38" s="185">
        <f t="shared" si="16"/>
        <v>488.89094736078727</v>
      </c>
      <c r="X38" s="186"/>
      <c r="Y38" s="187">
        <f t="shared" si="12"/>
        <v>1349.3390147157729</v>
      </c>
    </row>
    <row r="39" spans="1:25">
      <c r="A39" s="157" t="str">
        <f t="shared" ref="A39:B42" si="22">A19</f>
        <v>Convert High Pressure Center Pivot to Low pressure system - Washington</v>
      </c>
      <c r="B39" s="157" t="str">
        <f t="shared" si="22"/>
        <v>Convert High Pressure Center Pivot to Low pressure system - Washington</v>
      </c>
      <c r="C39" s="169">
        <f>Assump!$E$9</f>
        <v>80.462006928148398</v>
      </c>
      <c r="D39" s="169">
        <f>PumpDepthWA</f>
        <v>175</v>
      </c>
      <c r="E39" s="221">
        <v>100</v>
      </c>
      <c r="F39" s="222">
        <v>638.21446811156511</v>
      </c>
      <c r="G39" s="148">
        <v>15</v>
      </c>
      <c r="H39" s="148">
        <v>15</v>
      </c>
      <c r="I39" s="166">
        <f>PumpPSIWA</f>
        <v>64</v>
      </c>
      <c r="J39" s="170">
        <f t="shared" si="5"/>
        <v>452.84000000000003</v>
      </c>
      <c r="K39" s="170">
        <f t="shared" si="6"/>
        <v>72.982080742333636</v>
      </c>
      <c r="L39" s="224">
        <f>PreWaterUseWA*12</f>
        <v>24</v>
      </c>
      <c r="M39" s="225">
        <v>0.2</v>
      </c>
      <c r="N39" s="224">
        <f t="shared" si="7"/>
        <v>28.799999999999997</v>
      </c>
      <c r="O39" s="167">
        <v>0.65</v>
      </c>
      <c r="P39" s="170">
        <f t="shared" si="8"/>
        <v>112.28012421897482</v>
      </c>
      <c r="Q39" s="170">
        <f t="shared" si="9"/>
        <v>124.75569357663869</v>
      </c>
      <c r="R39" s="170">
        <f t="shared" si="10"/>
        <v>1643.3544792097096</v>
      </c>
      <c r="S39" s="170">
        <f t="shared" si="13"/>
        <v>93.067747408172465</v>
      </c>
      <c r="T39" s="172">
        <f t="shared" si="14"/>
        <v>152943.29957317805</v>
      </c>
      <c r="U39" s="172">
        <f t="shared" si="15"/>
        <v>193.10881662755614</v>
      </c>
      <c r="V39" s="173">
        <f t="shared" si="11"/>
        <v>2.4</v>
      </c>
      <c r="W39" s="174">
        <f t="shared" si="16"/>
        <v>792.00578328930339</v>
      </c>
      <c r="X39" s="176"/>
      <c r="Y39" s="175">
        <f t="shared" si="12"/>
        <v>1900.813879894328</v>
      </c>
    </row>
    <row r="40" spans="1:25">
      <c r="A40" s="157" t="str">
        <f t="shared" si="22"/>
        <v>Convert Medium Pressure Center Pivot to Low pressure system - Washington</v>
      </c>
      <c r="B40" s="157" t="str">
        <f t="shared" si="22"/>
        <v>Convert Medium Pressure Center Pivot to Low pressure system - Washington</v>
      </c>
      <c r="C40" s="169">
        <f>Assump!$E$9</f>
        <v>80.462006928148398</v>
      </c>
      <c r="D40" s="169">
        <f>PumpDepthWA</f>
        <v>175</v>
      </c>
      <c r="E40" s="148">
        <v>100</v>
      </c>
      <c r="F40" s="166">
        <f>F39</f>
        <v>638.21446811156511</v>
      </c>
      <c r="G40" s="148">
        <v>15</v>
      </c>
      <c r="H40" s="148">
        <v>15</v>
      </c>
      <c r="I40" s="166">
        <v>40</v>
      </c>
      <c r="J40" s="170">
        <f t="shared" si="5"/>
        <v>397.4</v>
      </c>
      <c r="K40" s="170">
        <f t="shared" si="6"/>
        <v>64.047078188771707</v>
      </c>
      <c r="L40" s="171">
        <f>PreWaterUseWA*12</f>
        <v>24</v>
      </c>
      <c r="M40" s="167">
        <f>$M$39</f>
        <v>0.2</v>
      </c>
      <c r="N40" s="171">
        <f t="shared" si="7"/>
        <v>28.799999999999997</v>
      </c>
      <c r="O40" s="167">
        <v>0.65</v>
      </c>
      <c r="P40" s="170">
        <f t="shared" si="8"/>
        <v>98.533966444264166</v>
      </c>
      <c r="Q40" s="170">
        <f t="shared" si="9"/>
        <v>109.4821849380713</v>
      </c>
      <c r="R40" s="170">
        <f t="shared" si="10"/>
        <v>1643.3544792097096</v>
      </c>
      <c r="S40" s="170">
        <f t="shared" si="13"/>
        <v>81.673709963801187</v>
      </c>
      <c r="T40" s="172">
        <f t="shared" si="14"/>
        <v>134218.85710268735</v>
      </c>
      <c r="U40" s="172">
        <f t="shared" si="15"/>
        <v>193.10881662755614</v>
      </c>
      <c r="V40" s="173">
        <f t="shared" si="11"/>
        <v>2.4</v>
      </c>
      <c r="W40" s="174">
        <f t="shared" si="16"/>
        <v>695.04261610981598</v>
      </c>
      <c r="X40" s="177"/>
      <c r="Y40" s="175">
        <f t="shared" si="12"/>
        <v>1668.1022786635583</v>
      </c>
    </row>
    <row r="41" spans="1:25">
      <c r="A41" s="157" t="str">
        <f t="shared" si="22"/>
        <v>Convert wheel line systems to low pressure systems on alfalfa acreage - Washington</v>
      </c>
      <c r="B41" s="157" t="str">
        <f t="shared" si="22"/>
        <v>Convert wheel line systems to low pressure systems on alfalfa acreage - Washington</v>
      </c>
      <c r="C41" s="169">
        <f>Assump!$E$9</f>
        <v>80.462006928148398</v>
      </c>
      <c r="D41" s="169">
        <f>PumpDepthWA</f>
        <v>175</v>
      </c>
      <c r="E41" s="148">
        <v>5</v>
      </c>
      <c r="F41" s="166">
        <f>F40</f>
        <v>638.21446811156511</v>
      </c>
      <c r="G41" s="148">
        <v>5</v>
      </c>
      <c r="H41" s="148">
        <v>5</v>
      </c>
      <c r="I41" s="166">
        <f>PumpPSIWA</f>
        <v>64</v>
      </c>
      <c r="J41" s="170">
        <f t="shared" si="5"/>
        <v>337.84000000000003</v>
      </c>
      <c r="K41" s="170">
        <f t="shared" si="6"/>
        <v>54.44807472394222</v>
      </c>
      <c r="L41" s="171">
        <f>'[2]Water Applied by Crop'!$I$12*12</f>
        <v>27.599999999999998</v>
      </c>
      <c r="M41" s="167">
        <f t="shared" ref="M41:M42" si="23">$M$39</f>
        <v>0.2</v>
      </c>
      <c r="N41" s="171">
        <f t="shared" si="7"/>
        <v>33.119999999999997</v>
      </c>
      <c r="O41" s="167">
        <v>0.65</v>
      </c>
      <c r="P41" s="170">
        <f t="shared" si="8"/>
        <v>83.766268806064957</v>
      </c>
      <c r="Q41" s="170">
        <f t="shared" si="9"/>
        <v>93.073632006738833</v>
      </c>
      <c r="R41" s="170">
        <f t="shared" si="10"/>
        <v>1889.857651091166</v>
      </c>
      <c r="S41" s="170">
        <f t="shared" si="13"/>
        <v>69.432929477027173</v>
      </c>
      <c r="T41" s="172">
        <f t="shared" si="14"/>
        <v>131218.35300983314</v>
      </c>
      <c r="U41" s="172">
        <f t="shared" si="15"/>
        <v>222.07513912168957</v>
      </c>
      <c r="V41" s="173">
        <f t="shared" si="11"/>
        <v>2.76</v>
      </c>
      <c r="W41" s="174">
        <f t="shared" si="16"/>
        <v>590.87367243719245</v>
      </c>
      <c r="X41" s="176"/>
      <c r="Y41" s="175">
        <f t="shared" si="12"/>
        <v>1630.8113359266511</v>
      </c>
    </row>
    <row r="42" spans="1:25" ht="13.5" thickBot="1">
      <c r="A42" s="159" t="str">
        <f t="shared" si="22"/>
        <v>Convert hand line systems to low pressure systems on alfalfa acreage - Washington</v>
      </c>
      <c r="B42" s="159" t="str">
        <f t="shared" si="22"/>
        <v>Convert hand line systems to low pressure systems on alfalfa acreage - Washington</v>
      </c>
      <c r="C42" s="179">
        <f>Assump!$E$9</f>
        <v>80.462006928148398</v>
      </c>
      <c r="D42" s="179">
        <f>PumpDepthWA</f>
        <v>175</v>
      </c>
      <c r="E42" s="154">
        <v>5</v>
      </c>
      <c r="F42" s="166">
        <f>F41</f>
        <v>638.21446811156511</v>
      </c>
      <c r="G42" s="154">
        <v>5</v>
      </c>
      <c r="H42" s="154">
        <v>5</v>
      </c>
      <c r="I42" s="180">
        <f>PumpPSIWA</f>
        <v>64</v>
      </c>
      <c r="J42" s="181">
        <f t="shared" si="5"/>
        <v>337.84000000000003</v>
      </c>
      <c r="K42" s="181">
        <f t="shared" si="6"/>
        <v>54.44807472394222</v>
      </c>
      <c r="L42" s="171">
        <v>27.599999999999998</v>
      </c>
      <c r="M42" s="167">
        <f t="shared" si="23"/>
        <v>0.2</v>
      </c>
      <c r="N42" s="171">
        <f t="shared" si="7"/>
        <v>33.119999999999997</v>
      </c>
      <c r="O42" s="182">
        <v>0.65</v>
      </c>
      <c r="P42" s="181">
        <f t="shared" si="8"/>
        <v>83.766268806064957</v>
      </c>
      <c r="Q42" s="181">
        <f t="shared" si="9"/>
        <v>93.073632006738833</v>
      </c>
      <c r="R42" s="181">
        <f t="shared" si="10"/>
        <v>1889.857651091166</v>
      </c>
      <c r="S42" s="181">
        <f t="shared" si="13"/>
        <v>69.432929477027173</v>
      </c>
      <c r="T42" s="183">
        <f t="shared" si="14"/>
        <v>131218.35300983314</v>
      </c>
      <c r="U42" s="183">
        <f t="shared" si="15"/>
        <v>222.07513912168957</v>
      </c>
      <c r="V42" s="184">
        <f t="shared" si="11"/>
        <v>2.76</v>
      </c>
      <c r="W42" s="185">
        <f t="shared" si="16"/>
        <v>590.87367243719245</v>
      </c>
      <c r="X42" s="186"/>
      <c r="Y42" s="187">
        <f t="shared" si="12"/>
        <v>1630.8113359266511</v>
      </c>
    </row>
    <row r="44" spans="1:25" ht="13.5" thickBot="1">
      <c r="L44"/>
      <c r="M44"/>
      <c r="N44"/>
    </row>
    <row r="45" spans="1:25" ht="13.5" thickBot="1">
      <c r="A45" s="188" t="s">
        <v>423</v>
      </c>
    </row>
    <row r="46" spans="1:25" ht="76.5">
      <c r="A46" s="140" t="s">
        <v>6</v>
      </c>
      <c r="B46" s="141" t="s">
        <v>247</v>
      </c>
      <c r="C46" s="142" t="s">
        <v>424</v>
      </c>
      <c r="D46" s="142" t="s">
        <v>425</v>
      </c>
      <c r="E46" s="142" t="s">
        <v>426</v>
      </c>
      <c r="F46" s="142" t="s">
        <v>427</v>
      </c>
      <c r="G46" s="142" t="s">
        <v>428</v>
      </c>
      <c r="H46" s="142" t="s">
        <v>429</v>
      </c>
      <c r="I46" s="142" t="s">
        <v>430</v>
      </c>
      <c r="J46" s="142" t="s">
        <v>431</v>
      </c>
      <c r="K46" s="142" t="s">
        <v>432</v>
      </c>
      <c r="L46" s="142" t="s">
        <v>433</v>
      </c>
      <c r="M46" s="142" t="s">
        <v>434</v>
      </c>
      <c r="N46" s="142" t="s">
        <v>435</v>
      </c>
      <c r="O46" s="142" t="s">
        <v>436</v>
      </c>
      <c r="P46" s="142" t="s">
        <v>437</v>
      </c>
      <c r="Q46" s="142" t="s">
        <v>438</v>
      </c>
      <c r="R46" s="142" t="s">
        <v>439</v>
      </c>
      <c r="S46" s="142" t="s">
        <v>440</v>
      </c>
      <c r="T46" s="142" t="s">
        <v>441</v>
      </c>
      <c r="U46" s="142" t="s">
        <v>442</v>
      </c>
      <c r="V46" s="142" t="s">
        <v>443</v>
      </c>
      <c r="W46" s="143" t="s">
        <v>444</v>
      </c>
      <c r="X46" s="189" t="s">
        <v>445</v>
      </c>
    </row>
    <row r="47" spans="1:25">
      <c r="A47" s="168" t="str">
        <f t="shared" ref="A47:H47" si="24">A27</f>
        <v>Convert High Pressure Center Pivot to Low pressure system - Idaho</v>
      </c>
      <c r="B47" s="190" t="str">
        <f t="shared" si="24"/>
        <v>Convert High Pressure Center Pivot to Low pressure system - Idaho</v>
      </c>
      <c r="C47" s="191">
        <f t="shared" si="24"/>
        <v>123.75162559536136</v>
      </c>
      <c r="D47" s="191">
        <f t="shared" si="24"/>
        <v>201</v>
      </c>
      <c r="E47" s="191">
        <f t="shared" si="24"/>
        <v>25</v>
      </c>
      <c r="F47" s="191">
        <f t="shared" si="24"/>
        <v>924.78851383922597</v>
      </c>
      <c r="G47" s="191">
        <f t="shared" si="24"/>
        <v>10</v>
      </c>
      <c r="H47" s="191">
        <f t="shared" si="24"/>
        <v>5</v>
      </c>
      <c r="I47" s="191">
        <v>20</v>
      </c>
      <c r="J47" s="170">
        <f t="shared" ref="J47:J62" si="25">D47+E47+G47+(I47*2.31)</f>
        <v>282.2</v>
      </c>
      <c r="K47" s="170">
        <f t="shared" ref="K47:K62" si="26">F47*J47/3960</f>
        <v>65.902858233694332</v>
      </c>
      <c r="L47" s="171">
        <f t="shared" ref="L47:M58" si="27">L27</f>
        <v>19.200000000000003</v>
      </c>
      <c r="M47" s="167">
        <f t="shared" si="27"/>
        <v>0.2</v>
      </c>
      <c r="N47" s="171">
        <f t="shared" ref="N47:N62" si="28">L47*(1+M47)</f>
        <v>23.040000000000003</v>
      </c>
      <c r="O47" s="167">
        <v>0.75</v>
      </c>
      <c r="P47" s="170">
        <f t="shared" ref="P47:P62" si="29">K47/O47</f>
        <v>87.870477644925771</v>
      </c>
      <c r="Q47" s="170">
        <f t="shared" ref="Q47:Q62" si="30">P47/0.9</f>
        <v>97.63386404991752</v>
      </c>
      <c r="R47" s="170">
        <f t="shared" ref="R47:R62" si="31">N47*C47/(F47/452.6)</f>
        <v>1395.4218204928084</v>
      </c>
      <c r="S47" s="170">
        <f t="shared" ref="S47:S62" si="32">Q47*0.746</f>
        <v>72.834862581238468</v>
      </c>
      <c r="T47" s="172">
        <f t="shared" ref="T47:T62" si="33">R47*S47</f>
        <v>101635.35653845531</v>
      </c>
      <c r="U47" s="172">
        <f t="shared" ref="U47:U62" si="34">(C47*$Q$4*N47)/$Q$3</f>
        <v>237.60312114309386</v>
      </c>
      <c r="V47" s="173">
        <f t="shared" ref="V47:V62" si="35">U47/C47</f>
        <v>1.9200000000000004</v>
      </c>
      <c r="W47" s="192">
        <f t="shared" ref="W47:W62" si="36">T47/U47</f>
        <v>427.75261557800218</v>
      </c>
      <c r="X47" s="176"/>
    </row>
    <row r="48" spans="1:25">
      <c r="A48" s="168" t="str">
        <f t="shared" ref="A48:F58" si="37">A28</f>
        <v>Convert Medium Pressure Center Pivot to Low pressure system - Idaho</v>
      </c>
      <c r="B48" s="190" t="str">
        <f t="shared" si="37"/>
        <v>Convert Medium Pressure Center Pivot to Low pressure system - Idaho</v>
      </c>
      <c r="C48" s="191">
        <f t="shared" si="37"/>
        <v>123.75162559536136</v>
      </c>
      <c r="D48" s="191">
        <f t="shared" si="37"/>
        <v>201</v>
      </c>
      <c r="E48" s="191">
        <f t="shared" si="37"/>
        <v>25</v>
      </c>
      <c r="F48" s="191">
        <f t="shared" si="37"/>
        <v>924.78851383922597</v>
      </c>
      <c r="G48" s="191">
        <v>20</v>
      </c>
      <c r="H48" s="191">
        <f t="shared" ref="H48:H59" si="38">H28</f>
        <v>5</v>
      </c>
      <c r="I48" s="191">
        <v>20</v>
      </c>
      <c r="J48" s="170">
        <f t="shared" si="25"/>
        <v>292.2</v>
      </c>
      <c r="K48" s="170">
        <f t="shared" si="26"/>
        <v>68.238182763591368</v>
      </c>
      <c r="L48" s="171">
        <f t="shared" si="27"/>
        <v>19.200000000000003</v>
      </c>
      <c r="M48" s="167">
        <f t="shared" si="27"/>
        <v>0.2</v>
      </c>
      <c r="N48" s="171">
        <f t="shared" si="28"/>
        <v>23.040000000000003</v>
      </c>
      <c r="O48" s="167">
        <v>0.75</v>
      </c>
      <c r="P48" s="170">
        <f t="shared" si="29"/>
        <v>90.984243684788495</v>
      </c>
      <c r="Q48" s="170">
        <f t="shared" si="30"/>
        <v>101.09360409420944</v>
      </c>
      <c r="R48" s="170">
        <f t="shared" si="31"/>
        <v>1395.4218204928084</v>
      </c>
      <c r="S48" s="170">
        <f t="shared" si="32"/>
        <v>75.415828654280247</v>
      </c>
      <c r="T48" s="172">
        <f t="shared" si="33"/>
        <v>105236.89291472944</v>
      </c>
      <c r="U48" s="172">
        <f t="shared" si="34"/>
        <v>237.60312114309386</v>
      </c>
      <c r="V48" s="173">
        <f t="shared" si="35"/>
        <v>1.9200000000000004</v>
      </c>
      <c r="W48" s="192">
        <f t="shared" si="36"/>
        <v>442.91039784511787</v>
      </c>
      <c r="X48" s="177"/>
    </row>
    <row r="49" spans="1:24">
      <c r="A49" s="168" t="str">
        <f t="shared" si="37"/>
        <v>Convert wheel line systems to low pressure systems on alfalfa acreage - Idaho</v>
      </c>
      <c r="B49" s="190" t="str">
        <f t="shared" si="37"/>
        <v>Convert wheel line systems to low pressure systems on alfalfa acreage - Idaho</v>
      </c>
      <c r="C49" s="191">
        <f t="shared" si="37"/>
        <v>123.75162559536136</v>
      </c>
      <c r="D49" s="191">
        <f t="shared" si="37"/>
        <v>201</v>
      </c>
      <c r="E49" s="191">
        <f t="shared" si="37"/>
        <v>5</v>
      </c>
      <c r="F49" s="191">
        <f t="shared" si="37"/>
        <v>924.78851383922597</v>
      </c>
      <c r="G49" s="191">
        <v>20</v>
      </c>
      <c r="H49" s="191">
        <f t="shared" si="38"/>
        <v>5</v>
      </c>
      <c r="I49" s="191">
        <v>30</v>
      </c>
      <c r="J49" s="170">
        <f t="shared" si="25"/>
        <v>295.3</v>
      </c>
      <c r="K49" s="170">
        <f t="shared" si="26"/>
        <v>68.962133367859465</v>
      </c>
      <c r="L49" s="171">
        <f t="shared" si="27"/>
        <v>22.799999999999997</v>
      </c>
      <c r="M49" s="167">
        <f t="shared" si="27"/>
        <v>0.2</v>
      </c>
      <c r="N49" s="171">
        <f t="shared" si="28"/>
        <v>27.359999999999996</v>
      </c>
      <c r="O49" s="167">
        <v>0.65</v>
      </c>
      <c r="P49" s="170">
        <f t="shared" si="29"/>
        <v>106.09558979670686</v>
      </c>
      <c r="Q49" s="170">
        <f t="shared" si="30"/>
        <v>117.88398866300761</v>
      </c>
      <c r="R49" s="170">
        <f t="shared" si="31"/>
        <v>1657.0634118352095</v>
      </c>
      <c r="S49" s="170">
        <f t="shared" si="32"/>
        <v>87.941455542603677</v>
      </c>
      <c r="T49" s="172">
        <f t="shared" si="33"/>
        <v>145724.56836318126</v>
      </c>
      <c r="U49" s="172">
        <f t="shared" si="34"/>
        <v>282.15370635742386</v>
      </c>
      <c r="V49" s="173">
        <f t="shared" si="35"/>
        <v>2.2799999999999998</v>
      </c>
      <c r="W49" s="192">
        <f t="shared" si="36"/>
        <v>516.4722811706813</v>
      </c>
      <c r="X49" s="176"/>
    </row>
    <row r="50" spans="1:24" ht="13.5" thickBot="1">
      <c r="A50" s="178" t="str">
        <f t="shared" si="37"/>
        <v>Convert hand line systems to low pressure systems on alfalfa acreage - Idaho</v>
      </c>
      <c r="B50" s="193" t="str">
        <f t="shared" si="37"/>
        <v>Convert hand line systems to low pressure systems on alfalfa acreage - Idaho</v>
      </c>
      <c r="C50" s="194">
        <f t="shared" si="37"/>
        <v>123.75162559536136</v>
      </c>
      <c r="D50" s="194">
        <f t="shared" si="37"/>
        <v>201</v>
      </c>
      <c r="E50" s="194">
        <f t="shared" si="37"/>
        <v>5</v>
      </c>
      <c r="F50" s="194">
        <f t="shared" si="37"/>
        <v>924.78851383922597</v>
      </c>
      <c r="G50" s="194">
        <v>20</v>
      </c>
      <c r="H50" s="194">
        <f t="shared" si="38"/>
        <v>5</v>
      </c>
      <c r="I50" s="191">
        <v>30</v>
      </c>
      <c r="J50" s="181">
        <f t="shared" si="25"/>
        <v>295.3</v>
      </c>
      <c r="K50" s="181">
        <f t="shared" si="26"/>
        <v>68.962133367859465</v>
      </c>
      <c r="L50" s="195">
        <f t="shared" si="27"/>
        <v>22.799999999999997</v>
      </c>
      <c r="M50" s="231">
        <f t="shared" si="27"/>
        <v>0.2</v>
      </c>
      <c r="N50" s="232">
        <f t="shared" si="28"/>
        <v>27.359999999999996</v>
      </c>
      <c r="O50" s="182">
        <v>0.65</v>
      </c>
      <c r="P50" s="181">
        <f t="shared" si="29"/>
        <v>106.09558979670686</v>
      </c>
      <c r="Q50" s="181">
        <f t="shared" si="30"/>
        <v>117.88398866300761</v>
      </c>
      <c r="R50" s="181">
        <f t="shared" si="31"/>
        <v>1657.0634118352095</v>
      </c>
      <c r="S50" s="181">
        <f t="shared" si="32"/>
        <v>87.941455542603677</v>
      </c>
      <c r="T50" s="183">
        <f t="shared" si="33"/>
        <v>145724.56836318126</v>
      </c>
      <c r="U50" s="183">
        <f t="shared" si="34"/>
        <v>282.15370635742386</v>
      </c>
      <c r="V50" s="184">
        <f t="shared" si="35"/>
        <v>2.2799999999999998</v>
      </c>
      <c r="W50" s="196">
        <f t="shared" si="36"/>
        <v>516.4722811706813</v>
      </c>
      <c r="X50" s="186"/>
    </row>
    <row r="51" spans="1:24">
      <c r="A51" s="157" t="str">
        <f t="shared" si="37"/>
        <v>Convert High Pressure Center Pivot to Low pressure system - Montana</v>
      </c>
      <c r="B51" s="197" t="str">
        <f t="shared" si="37"/>
        <v>Convert High Pressure Center Pivot to Low pressure system - Montana</v>
      </c>
      <c r="C51" s="191">
        <f t="shared" si="37"/>
        <v>125.7761411696077</v>
      </c>
      <c r="D51" s="191">
        <f t="shared" si="37"/>
        <v>88</v>
      </c>
      <c r="E51" s="191">
        <f t="shared" si="37"/>
        <v>5</v>
      </c>
      <c r="F51" s="191">
        <f t="shared" si="37"/>
        <v>718.68929657984518</v>
      </c>
      <c r="G51" s="230">
        <f t="shared" ref="G51:G59" si="39">G31</f>
        <v>5</v>
      </c>
      <c r="H51" s="191">
        <f t="shared" si="38"/>
        <v>5</v>
      </c>
      <c r="I51" s="191">
        <v>20</v>
      </c>
      <c r="J51" s="170">
        <f t="shared" si="25"/>
        <v>144.19999999999999</v>
      </c>
      <c r="K51" s="170">
        <f t="shared" si="26"/>
        <v>26.1704536784883</v>
      </c>
      <c r="L51" s="171">
        <f t="shared" si="27"/>
        <v>13.200000000000001</v>
      </c>
      <c r="M51" s="225">
        <f t="shared" si="27"/>
        <v>0.15</v>
      </c>
      <c r="N51" s="224">
        <f t="shared" si="28"/>
        <v>15.18</v>
      </c>
      <c r="O51" s="167">
        <f t="shared" ref="O51:O62" si="40">O47</f>
        <v>0.75</v>
      </c>
      <c r="P51" s="170">
        <f t="shared" si="29"/>
        <v>34.893938237984401</v>
      </c>
      <c r="Q51" s="170">
        <f t="shared" si="30"/>
        <v>38.771042486649336</v>
      </c>
      <c r="R51" s="170">
        <f t="shared" si="31"/>
        <v>1202.3846148559801</v>
      </c>
      <c r="S51" s="170">
        <f t="shared" si="32"/>
        <v>28.923197695040404</v>
      </c>
      <c r="T51" s="172">
        <f t="shared" si="33"/>
        <v>34776.807920954525</v>
      </c>
      <c r="U51" s="172">
        <f t="shared" si="34"/>
        <v>159.10681857955373</v>
      </c>
      <c r="V51" s="173">
        <f t="shared" si="35"/>
        <v>1.2649999999999999</v>
      </c>
      <c r="W51" s="192">
        <f t="shared" si="36"/>
        <v>218.57522029180697</v>
      </c>
      <c r="X51" s="176"/>
    </row>
    <row r="52" spans="1:24">
      <c r="A52" s="157" t="str">
        <f t="shared" si="37"/>
        <v>Convert Medium Pressure Center Pivot to Low pressure system - Montana</v>
      </c>
      <c r="B52" s="197" t="str">
        <f t="shared" si="37"/>
        <v>Convert Medium Pressure Center Pivot to Low pressure system - Montana</v>
      </c>
      <c r="C52" s="191">
        <f t="shared" si="37"/>
        <v>125.7761411696077</v>
      </c>
      <c r="D52" s="191">
        <f t="shared" si="37"/>
        <v>88</v>
      </c>
      <c r="E52" s="191">
        <f t="shared" si="37"/>
        <v>5</v>
      </c>
      <c r="F52" s="191">
        <f t="shared" si="37"/>
        <v>718.68929657984518</v>
      </c>
      <c r="G52" s="191">
        <f t="shared" si="39"/>
        <v>5</v>
      </c>
      <c r="H52" s="191">
        <f t="shared" si="38"/>
        <v>5</v>
      </c>
      <c r="I52" s="191">
        <v>20</v>
      </c>
      <c r="J52" s="170">
        <f t="shared" si="25"/>
        <v>144.19999999999999</v>
      </c>
      <c r="K52" s="170">
        <f t="shared" si="26"/>
        <v>26.1704536784883</v>
      </c>
      <c r="L52" s="171">
        <f t="shared" si="27"/>
        <v>13.200000000000001</v>
      </c>
      <c r="M52" s="167">
        <f t="shared" si="27"/>
        <v>0.15</v>
      </c>
      <c r="N52" s="171">
        <f t="shared" si="28"/>
        <v>15.18</v>
      </c>
      <c r="O52" s="167">
        <f t="shared" si="40"/>
        <v>0.75</v>
      </c>
      <c r="P52" s="170">
        <f t="shared" si="29"/>
        <v>34.893938237984401</v>
      </c>
      <c r="Q52" s="170">
        <f t="shared" si="30"/>
        <v>38.771042486649336</v>
      </c>
      <c r="R52" s="170">
        <f t="shared" si="31"/>
        <v>1202.3846148559801</v>
      </c>
      <c r="S52" s="170">
        <f t="shared" si="32"/>
        <v>28.923197695040404</v>
      </c>
      <c r="T52" s="172">
        <f t="shared" si="33"/>
        <v>34776.807920954525</v>
      </c>
      <c r="U52" s="172">
        <f t="shared" si="34"/>
        <v>159.10681857955373</v>
      </c>
      <c r="V52" s="173">
        <f t="shared" si="35"/>
        <v>1.2649999999999999</v>
      </c>
      <c r="W52" s="192">
        <f t="shared" si="36"/>
        <v>218.57522029180697</v>
      </c>
      <c r="X52" s="177"/>
    </row>
    <row r="53" spans="1:24">
      <c r="A53" s="157" t="str">
        <f t="shared" si="37"/>
        <v>Convert wheel line systems to low pressure systems on alfalfa acreage - Montana</v>
      </c>
      <c r="B53" s="197" t="str">
        <f t="shared" si="37"/>
        <v>Convert wheel line systems to low pressure systems on alfalfa acreage - Montana</v>
      </c>
      <c r="C53" s="191">
        <f t="shared" si="37"/>
        <v>125.7761411696077</v>
      </c>
      <c r="D53" s="191">
        <f t="shared" si="37"/>
        <v>88</v>
      </c>
      <c r="E53" s="191">
        <f t="shared" si="37"/>
        <v>5</v>
      </c>
      <c r="F53" s="191">
        <f t="shared" si="37"/>
        <v>718.68929657984518</v>
      </c>
      <c r="G53" s="191">
        <f t="shared" si="39"/>
        <v>5</v>
      </c>
      <c r="H53" s="191">
        <f t="shared" si="38"/>
        <v>5</v>
      </c>
      <c r="I53" s="191">
        <v>35</v>
      </c>
      <c r="J53" s="170">
        <f t="shared" si="25"/>
        <v>178.85000000000002</v>
      </c>
      <c r="K53" s="170">
        <f t="shared" si="26"/>
        <v>32.458985023561951</v>
      </c>
      <c r="L53" s="171">
        <f t="shared" si="27"/>
        <v>16.799999999999997</v>
      </c>
      <c r="M53" s="167">
        <f t="shared" si="27"/>
        <v>0.15</v>
      </c>
      <c r="N53" s="171">
        <f t="shared" si="28"/>
        <v>19.319999999999997</v>
      </c>
      <c r="O53" s="167">
        <f t="shared" si="40"/>
        <v>0.65</v>
      </c>
      <c r="P53" s="170">
        <f t="shared" si="29"/>
        <v>49.936900036249156</v>
      </c>
      <c r="Q53" s="170">
        <f t="shared" si="30"/>
        <v>55.485444484721285</v>
      </c>
      <c r="R53" s="170">
        <f t="shared" si="31"/>
        <v>1530.3076916348832</v>
      </c>
      <c r="S53" s="170">
        <f t="shared" si="32"/>
        <v>41.392141585602076</v>
      </c>
      <c r="T53" s="172">
        <f t="shared" si="33"/>
        <v>63342.712641686965</v>
      </c>
      <c r="U53" s="172">
        <f t="shared" si="34"/>
        <v>202.49958728306837</v>
      </c>
      <c r="V53" s="173">
        <f t="shared" si="35"/>
        <v>1.6099999999999999</v>
      </c>
      <c r="W53" s="192">
        <f t="shared" si="36"/>
        <v>312.80415674695672</v>
      </c>
      <c r="X53" s="176"/>
    </row>
    <row r="54" spans="1:24" ht="13.5" thickBot="1">
      <c r="A54" s="159" t="str">
        <f t="shared" si="37"/>
        <v>Convert hand line systems to low pressure systems on alfalfa acreage - Montana</v>
      </c>
      <c r="B54" s="198" t="str">
        <f t="shared" si="37"/>
        <v>Convert hand line systems to low pressure systems on alfalfa acreage - Montana</v>
      </c>
      <c r="C54" s="194">
        <f t="shared" si="37"/>
        <v>125.7761411696077</v>
      </c>
      <c r="D54" s="194">
        <f t="shared" si="37"/>
        <v>88</v>
      </c>
      <c r="E54" s="194">
        <f t="shared" si="37"/>
        <v>5</v>
      </c>
      <c r="F54" s="194">
        <f t="shared" si="37"/>
        <v>718.68929657984518</v>
      </c>
      <c r="G54" s="194">
        <f t="shared" si="39"/>
        <v>5</v>
      </c>
      <c r="H54" s="194">
        <f t="shared" si="38"/>
        <v>5</v>
      </c>
      <c r="I54" s="191">
        <v>35</v>
      </c>
      <c r="J54" s="181">
        <f t="shared" si="25"/>
        <v>178.85000000000002</v>
      </c>
      <c r="K54" s="181">
        <f t="shared" si="26"/>
        <v>32.458985023561951</v>
      </c>
      <c r="L54" s="195">
        <f t="shared" si="27"/>
        <v>16.799999999999997</v>
      </c>
      <c r="M54" s="231">
        <f t="shared" si="27"/>
        <v>0.15</v>
      </c>
      <c r="N54" s="232">
        <f t="shared" si="28"/>
        <v>19.319999999999997</v>
      </c>
      <c r="O54" s="182">
        <f t="shared" si="40"/>
        <v>0.65</v>
      </c>
      <c r="P54" s="181">
        <f t="shared" si="29"/>
        <v>49.936900036249156</v>
      </c>
      <c r="Q54" s="181">
        <f t="shared" si="30"/>
        <v>55.485444484721285</v>
      </c>
      <c r="R54" s="181">
        <f t="shared" si="31"/>
        <v>1530.3076916348832</v>
      </c>
      <c r="S54" s="181">
        <f t="shared" si="32"/>
        <v>41.392141585602076</v>
      </c>
      <c r="T54" s="183">
        <f t="shared" si="33"/>
        <v>63342.712641686965</v>
      </c>
      <c r="U54" s="183">
        <f t="shared" si="34"/>
        <v>202.49958728306837</v>
      </c>
      <c r="V54" s="184">
        <f t="shared" si="35"/>
        <v>1.6099999999999999</v>
      </c>
      <c r="W54" s="196">
        <f t="shared" si="36"/>
        <v>312.80415674695672</v>
      </c>
      <c r="X54" s="186"/>
    </row>
    <row r="55" spans="1:24">
      <c r="A55" s="168" t="str">
        <f t="shared" si="37"/>
        <v>Convert High Pressure Center Pivot to Low pressure system - Oregon</v>
      </c>
      <c r="B55" s="190" t="str">
        <f t="shared" si="37"/>
        <v>Convert High Pressure Center Pivot to Low pressure system - Oregon</v>
      </c>
      <c r="C55" s="191">
        <f t="shared" si="37"/>
        <v>61.344747043037472</v>
      </c>
      <c r="D55" s="191">
        <f t="shared" si="37"/>
        <v>119</v>
      </c>
      <c r="E55" s="191">
        <f t="shared" si="37"/>
        <v>40</v>
      </c>
      <c r="F55" s="191">
        <f t="shared" si="37"/>
        <v>463.76594019630954</v>
      </c>
      <c r="G55" s="191">
        <f t="shared" si="39"/>
        <v>10</v>
      </c>
      <c r="H55" s="191">
        <f t="shared" si="38"/>
        <v>5</v>
      </c>
      <c r="I55" s="191">
        <v>20</v>
      </c>
      <c r="J55" s="170">
        <f t="shared" si="25"/>
        <v>215.2</v>
      </c>
      <c r="K55" s="170">
        <f t="shared" si="26"/>
        <v>25.202633921779245</v>
      </c>
      <c r="L55" s="171">
        <f t="shared" si="27"/>
        <v>18</v>
      </c>
      <c r="M55" s="225">
        <f t="shared" si="27"/>
        <v>0.15</v>
      </c>
      <c r="N55" s="224">
        <f t="shared" si="28"/>
        <v>20.7</v>
      </c>
      <c r="O55" s="167">
        <f t="shared" si="40"/>
        <v>0.75</v>
      </c>
      <c r="P55" s="170">
        <f t="shared" si="29"/>
        <v>33.603511895705658</v>
      </c>
      <c r="Q55" s="170">
        <f t="shared" si="30"/>
        <v>37.337235439672952</v>
      </c>
      <c r="R55" s="170">
        <f t="shared" si="31"/>
        <v>1239.2628332051966</v>
      </c>
      <c r="S55" s="170">
        <f t="shared" si="32"/>
        <v>27.853577637996022</v>
      </c>
      <c r="T55" s="172">
        <f t="shared" si="33"/>
        <v>34517.903538563856</v>
      </c>
      <c r="U55" s="172">
        <f t="shared" si="34"/>
        <v>105.81968864923964</v>
      </c>
      <c r="V55" s="173">
        <f t="shared" si="35"/>
        <v>1.7249999999999999</v>
      </c>
      <c r="W55" s="192">
        <f t="shared" si="36"/>
        <v>326.19547438832768</v>
      </c>
      <c r="X55" s="176"/>
    </row>
    <row r="56" spans="1:24">
      <c r="A56" s="168" t="str">
        <f t="shared" si="37"/>
        <v>Convert Medium Pressure Center Pivot to Low pressure system - Oregon</v>
      </c>
      <c r="B56" s="190" t="str">
        <f t="shared" si="37"/>
        <v>Convert Medium Pressure Center Pivot to Low pressure system - Oregon</v>
      </c>
      <c r="C56" s="191">
        <f t="shared" si="37"/>
        <v>61.344747043037472</v>
      </c>
      <c r="D56" s="191">
        <f t="shared" si="37"/>
        <v>119</v>
      </c>
      <c r="E56" s="191">
        <f t="shared" si="37"/>
        <v>40</v>
      </c>
      <c r="F56" s="191">
        <f t="shared" si="37"/>
        <v>463.76594019630954</v>
      </c>
      <c r="G56" s="191">
        <f t="shared" si="39"/>
        <v>10</v>
      </c>
      <c r="H56" s="191">
        <f t="shared" si="38"/>
        <v>5</v>
      </c>
      <c r="I56" s="191">
        <v>20</v>
      </c>
      <c r="J56" s="170">
        <f t="shared" si="25"/>
        <v>215.2</v>
      </c>
      <c r="K56" s="170">
        <f t="shared" si="26"/>
        <v>25.202633921779245</v>
      </c>
      <c r="L56" s="171">
        <f t="shared" si="27"/>
        <v>18</v>
      </c>
      <c r="M56" s="167">
        <f t="shared" si="27"/>
        <v>0.15</v>
      </c>
      <c r="N56" s="171">
        <f t="shared" si="28"/>
        <v>20.7</v>
      </c>
      <c r="O56" s="167">
        <f t="shared" si="40"/>
        <v>0.75</v>
      </c>
      <c r="P56" s="170">
        <f t="shared" si="29"/>
        <v>33.603511895705658</v>
      </c>
      <c r="Q56" s="170">
        <f t="shared" si="30"/>
        <v>37.337235439672952</v>
      </c>
      <c r="R56" s="170">
        <f t="shared" si="31"/>
        <v>1239.2628332051966</v>
      </c>
      <c r="S56" s="170">
        <f t="shared" si="32"/>
        <v>27.853577637996022</v>
      </c>
      <c r="T56" s="172">
        <f t="shared" si="33"/>
        <v>34517.903538563856</v>
      </c>
      <c r="U56" s="172">
        <f t="shared" si="34"/>
        <v>105.81968864923964</v>
      </c>
      <c r="V56" s="173">
        <f t="shared" si="35"/>
        <v>1.7249999999999999</v>
      </c>
      <c r="W56" s="192">
        <f t="shared" si="36"/>
        <v>326.19547438832768</v>
      </c>
      <c r="X56" s="177"/>
    </row>
    <row r="57" spans="1:24">
      <c r="A57" s="168" t="str">
        <f t="shared" si="37"/>
        <v>Convert wheel line systems to low pressure systems on alfalfa acreage - Oregon</v>
      </c>
      <c r="B57" s="190" t="str">
        <f t="shared" si="37"/>
        <v>Convert wheel line systems to low pressure systems on alfalfa acreage - Oregon</v>
      </c>
      <c r="C57" s="191">
        <f t="shared" si="37"/>
        <v>61.344747043037472</v>
      </c>
      <c r="D57" s="191">
        <f t="shared" si="37"/>
        <v>119</v>
      </c>
      <c r="E57" s="191">
        <f t="shared" si="37"/>
        <v>5</v>
      </c>
      <c r="F57" s="191">
        <f t="shared" si="37"/>
        <v>463.76594019630954</v>
      </c>
      <c r="G57" s="191">
        <f t="shared" si="39"/>
        <v>5</v>
      </c>
      <c r="H57" s="191">
        <f t="shared" si="38"/>
        <v>5</v>
      </c>
      <c r="I57" s="191">
        <v>30</v>
      </c>
      <c r="J57" s="170">
        <f t="shared" si="25"/>
        <v>198.3</v>
      </c>
      <c r="K57" s="170">
        <f t="shared" si="26"/>
        <v>23.223430793163683</v>
      </c>
      <c r="L57" s="171">
        <f t="shared" si="27"/>
        <v>28.799999999999997</v>
      </c>
      <c r="M57" s="167">
        <f t="shared" si="27"/>
        <v>0.15</v>
      </c>
      <c r="N57" s="171">
        <f t="shared" si="28"/>
        <v>33.119999999999997</v>
      </c>
      <c r="O57" s="167">
        <f t="shared" si="40"/>
        <v>0.65</v>
      </c>
      <c r="P57" s="170">
        <f t="shared" si="29"/>
        <v>35.728355066405662</v>
      </c>
      <c r="Q57" s="170">
        <f t="shared" si="30"/>
        <v>39.698172296006291</v>
      </c>
      <c r="R57" s="170">
        <f t="shared" si="31"/>
        <v>1982.8205331283145</v>
      </c>
      <c r="S57" s="170">
        <f t="shared" si="32"/>
        <v>29.614836532820693</v>
      </c>
      <c r="T57" s="172">
        <f t="shared" si="33"/>
        <v>58720.905962515411</v>
      </c>
      <c r="U57" s="172">
        <f t="shared" si="34"/>
        <v>169.31150183878344</v>
      </c>
      <c r="V57" s="173">
        <f t="shared" si="35"/>
        <v>2.7600000000000002</v>
      </c>
      <c r="W57" s="192">
        <f t="shared" si="36"/>
        <v>346.82171810411802</v>
      </c>
      <c r="X57" s="176"/>
    </row>
    <row r="58" spans="1:24" ht="13.5" thickBot="1">
      <c r="A58" s="178" t="str">
        <f t="shared" si="37"/>
        <v>Convert hand line systems to low pressure systems on alfalfa acreage - Oregon</v>
      </c>
      <c r="B58" s="193" t="str">
        <f t="shared" si="37"/>
        <v>Convert hand line systems to low pressure systems on alfalfa acreage - Oregon</v>
      </c>
      <c r="C58" s="194">
        <f t="shared" si="37"/>
        <v>61.344747043037472</v>
      </c>
      <c r="D58" s="194">
        <f t="shared" si="37"/>
        <v>119</v>
      </c>
      <c r="E58" s="194">
        <f t="shared" si="37"/>
        <v>5</v>
      </c>
      <c r="F58" s="194">
        <f t="shared" si="37"/>
        <v>463.76594019630954</v>
      </c>
      <c r="G58" s="194">
        <f t="shared" si="39"/>
        <v>5</v>
      </c>
      <c r="H58" s="194">
        <f t="shared" si="38"/>
        <v>5</v>
      </c>
      <c r="I58" s="191">
        <v>30</v>
      </c>
      <c r="J58" s="181">
        <f t="shared" si="25"/>
        <v>198.3</v>
      </c>
      <c r="K58" s="181">
        <f t="shared" si="26"/>
        <v>23.223430793163683</v>
      </c>
      <c r="L58" s="195">
        <f t="shared" si="27"/>
        <v>28.799999999999997</v>
      </c>
      <c r="M58" s="231">
        <f t="shared" si="27"/>
        <v>0.15</v>
      </c>
      <c r="N58" s="232">
        <f t="shared" si="28"/>
        <v>33.119999999999997</v>
      </c>
      <c r="O58" s="182">
        <f t="shared" si="40"/>
        <v>0.65</v>
      </c>
      <c r="P58" s="181">
        <f t="shared" si="29"/>
        <v>35.728355066405662</v>
      </c>
      <c r="Q58" s="181">
        <f t="shared" si="30"/>
        <v>39.698172296006291</v>
      </c>
      <c r="R58" s="181">
        <f t="shared" si="31"/>
        <v>1982.8205331283145</v>
      </c>
      <c r="S58" s="181">
        <f t="shared" si="32"/>
        <v>29.614836532820693</v>
      </c>
      <c r="T58" s="183">
        <f t="shared" si="33"/>
        <v>58720.905962515411</v>
      </c>
      <c r="U58" s="183">
        <f t="shared" si="34"/>
        <v>169.31150183878344</v>
      </c>
      <c r="V58" s="184">
        <f t="shared" si="35"/>
        <v>2.7600000000000002</v>
      </c>
      <c r="W58" s="196">
        <f t="shared" si="36"/>
        <v>346.82171810411802</v>
      </c>
      <c r="X58" s="186"/>
    </row>
    <row r="59" spans="1:24">
      <c r="A59" s="157" t="str">
        <f t="shared" ref="A59:B62" si="41">A39</f>
        <v>Convert High Pressure Center Pivot to Low pressure system - Washington</v>
      </c>
      <c r="B59" s="197" t="str">
        <f t="shared" si="41"/>
        <v>Convert High Pressure Center Pivot to Low pressure system - Washington</v>
      </c>
      <c r="C59" s="191">
        <f>C39</f>
        <v>80.462006928148398</v>
      </c>
      <c r="D59" s="191">
        <f t="shared" ref="D59:F59" si="42">D39</f>
        <v>175</v>
      </c>
      <c r="E59" s="191">
        <f t="shared" si="42"/>
        <v>100</v>
      </c>
      <c r="F59" s="191">
        <f t="shared" si="42"/>
        <v>638.21446811156511</v>
      </c>
      <c r="G59" s="191">
        <f t="shared" si="39"/>
        <v>15</v>
      </c>
      <c r="H59" s="191">
        <f t="shared" si="38"/>
        <v>15</v>
      </c>
      <c r="I59" s="191">
        <v>20</v>
      </c>
      <c r="J59" s="170">
        <f t="shared" si="25"/>
        <v>336.2</v>
      </c>
      <c r="K59" s="170">
        <f t="shared" si="26"/>
        <v>54.183763681592971</v>
      </c>
      <c r="L59" s="171">
        <f t="shared" ref="L59:M62" si="43">L39</f>
        <v>24</v>
      </c>
      <c r="M59" s="225">
        <f t="shared" si="43"/>
        <v>0.2</v>
      </c>
      <c r="N59" s="224">
        <f>L59*(1+M59)</f>
        <v>28.799999999999997</v>
      </c>
      <c r="O59" s="167">
        <f t="shared" si="40"/>
        <v>0.75</v>
      </c>
      <c r="P59" s="170">
        <f>K59/O59</f>
        <v>72.245018242123962</v>
      </c>
      <c r="Q59" s="170">
        <f>P59/0.9</f>
        <v>80.272242491248846</v>
      </c>
      <c r="R59" s="170">
        <f t="shared" si="31"/>
        <v>1643.3544792097096</v>
      </c>
      <c r="S59" s="170">
        <f>Q59*0.746</f>
        <v>59.883092898471638</v>
      </c>
      <c r="T59" s="172">
        <f t="shared" si="33"/>
        <v>98409.148943634515</v>
      </c>
      <c r="U59" s="172">
        <f t="shared" si="34"/>
        <v>193.10881662755614</v>
      </c>
      <c r="V59" s="173">
        <f t="shared" si="35"/>
        <v>2.4</v>
      </c>
      <c r="W59" s="192">
        <f t="shared" si="36"/>
        <v>509.60463982042643</v>
      </c>
      <c r="X59" s="176"/>
    </row>
    <row r="60" spans="1:24">
      <c r="A60" s="157" t="str">
        <f t="shared" si="41"/>
        <v>Convert Medium Pressure Center Pivot to Low pressure system - Washington</v>
      </c>
      <c r="B60" s="197" t="str">
        <f t="shared" si="41"/>
        <v>Convert Medium Pressure Center Pivot to Low pressure system - Washington</v>
      </c>
      <c r="C60" s="191">
        <f t="shared" ref="C60:H62" si="44">C40</f>
        <v>80.462006928148398</v>
      </c>
      <c r="D60" s="191">
        <f t="shared" si="44"/>
        <v>175</v>
      </c>
      <c r="E60" s="191">
        <f t="shared" si="44"/>
        <v>100</v>
      </c>
      <c r="F60" s="191">
        <f t="shared" si="44"/>
        <v>638.21446811156511</v>
      </c>
      <c r="G60" s="191">
        <f t="shared" si="44"/>
        <v>15</v>
      </c>
      <c r="H60" s="191">
        <f t="shared" si="44"/>
        <v>15</v>
      </c>
      <c r="I60" s="191">
        <v>20</v>
      </c>
      <c r="J60" s="170">
        <f t="shared" si="25"/>
        <v>336.2</v>
      </c>
      <c r="K60" s="170">
        <f t="shared" si="26"/>
        <v>54.183763681592971</v>
      </c>
      <c r="L60" s="171">
        <f t="shared" si="43"/>
        <v>24</v>
      </c>
      <c r="M60" s="167">
        <f t="shared" si="43"/>
        <v>0.2</v>
      </c>
      <c r="N60" s="171">
        <f t="shared" si="28"/>
        <v>28.799999999999997</v>
      </c>
      <c r="O60" s="167">
        <f t="shared" si="40"/>
        <v>0.75</v>
      </c>
      <c r="P60" s="170">
        <f t="shared" si="29"/>
        <v>72.245018242123962</v>
      </c>
      <c r="Q60" s="170">
        <f t="shared" si="30"/>
        <v>80.272242491248846</v>
      </c>
      <c r="R60" s="170">
        <f t="shared" si="31"/>
        <v>1643.3544792097096</v>
      </c>
      <c r="S60" s="170">
        <f t="shared" si="32"/>
        <v>59.883092898471638</v>
      </c>
      <c r="T60" s="172">
        <f t="shared" si="33"/>
        <v>98409.148943634515</v>
      </c>
      <c r="U60" s="172">
        <f t="shared" si="34"/>
        <v>193.10881662755614</v>
      </c>
      <c r="V60" s="173">
        <f t="shared" si="35"/>
        <v>2.4</v>
      </c>
      <c r="W60" s="192">
        <f t="shared" si="36"/>
        <v>509.60463982042643</v>
      </c>
      <c r="X60" s="177"/>
    </row>
    <row r="61" spans="1:24">
      <c r="A61" s="157" t="str">
        <f t="shared" si="41"/>
        <v>Convert wheel line systems to low pressure systems on alfalfa acreage - Washington</v>
      </c>
      <c r="B61" s="197" t="str">
        <f t="shared" si="41"/>
        <v>Convert wheel line systems to low pressure systems on alfalfa acreage - Washington</v>
      </c>
      <c r="C61" s="191">
        <f t="shared" si="44"/>
        <v>80.462006928148398</v>
      </c>
      <c r="D61" s="191">
        <f t="shared" si="44"/>
        <v>175</v>
      </c>
      <c r="E61" s="191">
        <f t="shared" si="44"/>
        <v>5</v>
      </c>
      <c r="F61" s="191">
        <f t="shared" si="44"/>
        <v>638.21446811156511</v>
      </c>
      <c r="G61" s="191">
        <f t="shared" si="44"/>
        <v>5</v>
      </c>
      <c r="H61" s="191">
        <f t="shared" si="44"/>
        <v>5</v>
      </c>
      <c r="I61" s="191">
        <v>30</v>
      </c>
      <c r="J61" s="170">
        <f t="shared" si="25"/>
        <v>254.3</v>
      </c>
      <c r="K61" s="170">
        <f t="shared" si="26"/>
        <v>40.984328091103791</v>
      </c>
      <c r="L61" s="171">
        <f t="shared" si="43"/>
        <v>27.599999999999998</v>
      </c>
      <c r="M61" s="167">
        <f t="shared" si="43"/>
        <v>0.2</v>
      </c>
      <c r="N61" s="171">
        <f t="shared" si="28"/>
        <v>33.119999999999997</v>
      </c>
      <c r="O61" s="167">
        <f t="shared" si="40"/>
        <v>0.65</v>
      </c>
      <c r="P61" s="170">
        <f t="shared" si="29"/>
        <v>63.052812447851984</v>
      </c>
      <c r="Q61" s="170">
        <f t="shared" si="30"/>
        <v>70.05868049761331</v>
      </c>
      <c r="R61" s="170">
        <f t="shared" si="31"/>
        <v>1889.857651091166</v>
      </c>
      <c r="S61" s="170">
        <f t="shared" si="32"/>
        <v>52.263775651219525</v>
      </c>
      <c r="T61" s="172">
        <f t="shared" si="33"/>
        <v>98771.096289369409</v>
      </c>
      <c r="U61" s="172">
        <f t="shared" si="34"/>
        <v>222.07513912168957</v>
      </c>
      <c r="V61" s="173">
        <f t="shared" si="35"/>
        <v>2.76</v>
      </c>
      <c r="W61" s="192">
        <f t="shared" si="36"/>
        <v>444.76431121471109</v>
      </c>
      <c r="X61" s="176"/>
    </row>
    <row r="62" spans="1:24" ht="12.75" customHeight="1" thickBot="1">
      <c r="A62" s="159" t="str">
        <f t="shared" si="41"/>
        <v>Convert hand line systems to low pressure systems on alfalfa acreage - Washington</v>
      </c>
      <c r="B62" s="198" t="str">
        <f t="shared" si="41"/>
        <v>Convert hand line systems to low pressure systems on alfalfa acreage - Washington</v>
      </c>
      <c r="C62" s="194">
        <f t="shared" si="44"/>
        <v>80.462006928148398</v>
      </c>
      <c r="D62" s="194">
        <f t="shared" si="44"/>
        <v>175</v>
      </c>
      <c r="E62" s="194">
        <f t="shared" si="44"/>
        <v>5</v>
      </c>
      <c r="F62" s="194">
        <f t="shared" si="44"/>
        <v>638.21446811156511</v>
      </c>
      <c r="G62" s="194">
        <f t="shared" si="44"/>
        <v>5</v>
      </c>
      <c r="H62" s="194">
        <f t="shared" si="44"/>
        <v>5</v>
      </c>
      <c r="I62" s="191">
        <v>30</v>
      </c>
      <c r="J62" s="181">
        <f t="shared" si="25"/>
        <v>254.3</v>
      </c>
      <c r="K62" s="181">
        <f t="shared" si="26"/>
        <v>40.984328091103791</v>
      </c>
      <c r="L62" s="195">
        <f t="shared" si="43"/>
        <v>27.599999999999998</v>
      </c>
      <c r="M62" s="167">
        <f t="shared" si="43"/>
        <v>0.2</v>
      </c>
      <c r="N62" s="171">
        <f t="shared" si="28"/>
        <v>33.119999999999997</v>
      </c>
      <c r="O62" s="182">
        <f t="shared" si="40"/>
        <v>0.65</v>
      </c>
      <c r="P62" s="181">
        <f t="shared" si="29"/>
        <v>63.052812447851984</v>
      </c>
      <c r="Q62" s="181">
        <f t="shared" si="30"/>
        <v>70.05868049761331</v>
      </c>
      <c r="R62" s="181">
        <f t="shared" si="31"/>
        <v>1889.857651091166</v>
      </c>
      <c r="S62" s="181">
        <f t="shared" si="32"/>
        <v>52.263775651219525</v>
      </c>
      <c r="T62" s="183">
        <f t="shared" si="33"/>
        <v>98771.096289369409</v>
      </c>
      <c r="U62" s="183">
        <f t="shared" si="34"/>
        <v>222.07513912168957</v>
      </c>
      <c r="V62" s="184">
        <f t="shared" si="35"/>
        <v>2.76</v>
      </c>
      <c r="W62" s="196">
        <f t="shared" si="36"/>
        <v>444.76431121471109</v>
      </c>
      <c r="X62" s="186"/>
    </row>
    <row r="64" spans="1:24" ht="13.5" thickBot="1"/>
    <row r="65" spans="1:15" ht="13.5" thickBot="1">
      <c r="A65" s="161" t="s">
        <v>446</v>
      </c>
    </row>
    <row r="66" spans="1:15" ht="90" thickBot="1">
      <c r="A66" s="199" t="str">
        <f t="shared" ref="A66:B82" si="45">A46</f>
        <v>Category Name</v>
      </c>
      <c r="B66" s="200" t="str">
        <f t="shared" si="45"/>
        <v>Measure</v>
      </c>
      <c r="C66" s="201" t="s">
        <v>447</v>
      </c>
      <c r="D66" s="201" t="s">
        <v>448</v>
      </c>
      <c r="E66" s="201" t="s">
        <v>449</v>
      </c>
      <c r="F66" s="201" t="s">
        <v>450</v>
      </c>
      <c r="G66" s="201" t="s">
        <v>451</v>
      </c>
      <c r="H66" s="201" t="s">
        <v>452</v>
      </c>
      <c r="I66" s="202" t="s">
        <v>453</v>
      </c>
      <c r="J66" s="202" t="s">
        <v>454</v>
      </c>
      <c r="K66" s="202" t="s">
        <v>455</v>
      </c>
      <c r="L66" s="201" t="s">
        <v>456</v>
      </c>
      <c r="M66" s="201" t="s">
        <v>364</v>
      </c>
      <c r="N66" s="201" t="s">
        <v>365</v>
      </c>
      <c r="O66" s="202" t="s">
        <v>366</v>
      </c>
    </row>
    <row r="67" spans="1:15">
      <c r="A67" s="203" t="str">
        <f t="shared" si="45"/>
        <v>Convert High Pressure Center Pivot to Low pressure system - Idaho</v>
      </c>
      <c r="B67" s="203" t="str">
        <f t="shared" si="45"/>
        <v>Convert High Pressure Center Pivot to Low pressure system - Idaho</v>
      </c>
      <c r="C67" s="172">
        <f>T27-T47</f>
        <v>58031.83267216447</v>
      </c>
      <c r="D67" s="172"/>
      <c r="E67" s="172">
        <f>+C67+D67</f>
        <v>58031.83267216447</v>
      </c>
      <c r="F67" s="172">
        <f>E67/C47</f>
        <v>468.93794237430774</v>
      </c>
      <c r="G67" s="170">
        <f>U27-U47</f>
        <v>0</v>
      </c>
      <c r="H67" s="170">
        <f t="shared" ref="H67:H78" si="46">W27-W47</f>
        <v>244.23851165328517</v>
      </c>
      <c r="I67" s="204">
        <f t="shared" ref="I67:I78" si="47">V27-V47</f>
        <v>0</v>
      </c>
      <c r="J67" s="205">
        <f t="shared" ref="J67:J78" si="48">C67/T27</f>
        <v>0.36345496503739205</v>
      </c>
      <c r="K67" s="206">
        <f t="shared" ref="K67:K78" si="49">I67/V27</f>
        <v>0</v>
      </c>
      <c r="L67" s="207">
        <f>C7/C47</f>
        <v>64.150000000000006</v>
      </c>
      <c r="M67" s="208">
        <f t="shared" ref="M67:M82" si="50">E7/$C47</f>
        <v>0</v>
      </c>
      <c r="N67" s="208">
        <f t="shared" ref="N67:N82" si="51">F7/$C47</f>
        <v>0</v>
      </c>
      <c r="O67" s="209">
        <f t="shared" ref="O67:O82" si="52">G7</f>
        <v>0</v>
      </c>
    </row>
    <row r="68" spans="1:15">
      <c r="A68" s="203" t="str">
        <f t="shared" si="45"/>
        <v>Convert Medium Pressure Center Pivot to Low pressure system - Idaho</v>
      </c>
      <c r="B68" s="203" t="str">
        <f t="shared" si="45"/>
        <v>Convert Medium Pressure Center Pivot to Low pressure system - Idaho</v>
      </c>
      <c r="C68" s="172">
        <f t="shared" ref="C68:C78" si="53">T28-T48</f>
        <v>33311.441067938329</v>
      </c>
      <c r="D68" s="172"/>
      <c r="E68" s="172">
        <f t="shared" ref="E68:E82" si="54">+C68+D68</f>
        <v>33311.441067938329</v>
      </c>
      <c r="F68" s="172">
        <f t="shared" ref="F68:F82" si="55">E68/C48</f>
        <v>269.17982618554754</v>
      </c>
      <c r="G68" s="170">
        <f t="shared" ref="G68:G78" si="56">U28-U48</f>
        <v>0</v>
      </c>
      <c r="H68" s="170">
        <f t="shared" si="46"/>
        <v>140.19782613830597</v>
      </c>
      <c r="I68" s="204">
        <f t="shared" si="47"/>
        <v>0</v>
      </c>
      <c r="J68" s="205">
        <f t="shared" si="48"/>
        <v>0.24043191361727634</v>
      </c>
      <c r="K68" s="206">
        <f t="shared" si="49"/>
        <v>0</v>
      </c>
      <c r="L68" s="207">
        <f>C8/C48</f>
        <v>24.056249999999999</v>
      </c>
      <c r="M68" s="208">
        <f t="shared" si="50"/>
        <v>0</v>
      </c>
      <c r="N68" s="208">
        <f t="shared" si="51"/>
        <v>4.5098801515939018</v>
      </c>
      <c r="O68" s="209">
        <f t="shared" si="52"/>
        <v>5</v>
      </c>
    </row>
    <row r="69" spans="1:15">
      <c r="A69" s="203" t="str">
        <f t="shared" si="45"/>
        <v>Convert wheel line systems to low pressure systems on alfalfa acreage - Idaho</v>
      </c>
      <c r="B69" s="203" t="str">
        <f t="shared" si="45"/>
        <v>Convert wheel line systems to low pressure systems on alfalfa acreage - Idaho</v>
      </c>
      <c r="C69" s="172">
        <f t="shared" si="53"/>
        <v>31543.225227817631</v>
      </c>
      <c r="D69" s="172"/>
      <c r="E69" s="172">
        <f t="shared" si="54"/>
        <v>31543.225227817631</v>
      </c>
      <c r="F69" s="172">
        <f t="shared" si="55"/>
        <v>254.89140103061385</v>
      </c>
      <c r="G69" s="170">
        <f t="shared" si="56"/>
        <v>0</v>
      </c>
      <c r="H69" s="170">
        <f t="shared" si="46"/>
        <v>111.79447413623416</v>
      </c>
      <c r="I69" s="204">
        <f t="shared" si="47"/>
        <v>0</v>
      </c>
      <c r="J69" s="205">
        <f t="shared" si="48"/>
        <v>0.17794109459384222</v>
      </c>
      <c r="K69" s="206">
        <f t="shared" si="49"/>
        <v>0</v>
      </c>
      <c r="L69" s="207">
        <f>C9/C49</f>
        <v>166.79</v>
      </c>
      <c r="M69" s="208">
        <f t="shared" si="50"/>
        <v>4.8112499999999994</v>
      </c>
      <c r="N69" s="208">
        <f t="shared" si="51"/>
        <v>0</v>
      </c>
      <c r="O69" s="209">
        <f t="shared" si="52"/>
        <v>0</v>
      </c>
    </row>
    <row r="70" spans="1:15" ht="13.5" thickBot="1">
      <c r="A70" s="210" t="str">
        <f t="shared" si="45"/>
        <v>Convert hand line systems to low pressure systems on alfalfa acreage - Idaho</v>
      </c>
      <c r="B70" s="210" t="str">
        <f t="shared" si="45"/>
        <v>Convert hand line systems to low pressure systems on alfalfa acreage - Idaho</v>
      </c>
      <c r="C70" s="183">
        <f t="shared" si="53"/>
        <v>31543.225227817631</v>
      </c>
      <c r="D70" s="183"/>
      <c r="E70" s="183">
        <f t="shared" si="54"/>
        <v>31543.225227817631</v>
      </c>
      <c r="F70" s="183">
        <f t="shared" si="55"/>
        <v>254.89140103061385</v>
      </c>
      <c r="G70" s="181">
        <f t="shared" si="56"/>
        <v>0</v>
      </c>
      <c r="H70" s="181">
        <f t="shared" si="46"/>
        <v>111.79447413623416</v>
      </c>
      <c r="I70" s="211">
        <f t="shared" si="47"/>
        <v>0</v>
      </c>
      <c r="J70" s="212">
        <f t="shared" si="48"/>
        <v>0.17794109459384222</v>
      </c>
      <c r="K70" s="213">
        <f t="shared" si="49"/>
        <v>0</v>
      </c>
      <c r="L70" s="214">
        <f>C10/C50</f>
        <v>38.489999999999995</v>
      </c>
      <c r="M70" s="215">
        <f t="shared" si="50"/>
        <v>15.395999999999999</v>
      </c>
      <c r="N70" s="215">
        <f t="shared" si="51"/>
        <v>0</v>
      </c>
      <c r="O70" s="216">
        <f t="shared" si="52"/>
        <v>0</v>
      </c>
    </row>
    <row r="71" spans="1:15">
      <c r="A71" s="217" t="str">
        <f t="shared" si="45"/>
        <v>Convert High Pressure Center Pivot to Low pressure system - Montana</v>
      </c>
      <c r="B71" s="217" t="str">
        <f t="shared" si="45"/>
        <v>Convert High Pressure Center Pivot to Low pressure system - Montana</v>
      </c>
      <c r="C71" s="172">
        <f t="shared" si="53"/>
        <v>33739.774120260321</v>
      </c>
      <c r="D71" s="172"/>
      <c r="E71" s="172">
        <f t="shared" si="54"/>
        <v>33739.774120260321</v>
      </c>
      <c r="F71" s="172">
        <f t="shared" si="55"/>
        <v>268.2525780049383</v>
      </c>
      <c r="G71" s="170">
        <f t="shared" si="56"/>
        <v>0</v>
      </c>
      <c r="H71" s="170">
        <f t="shared" si="46"/>
        <v>212.05737391694728</v>
      </c>
      <c r="I71" s="204">
        <f t="shared" si="47"/>
        <v>0</v>
      </c>
      <c r="J71" s="205">
        <f t="shared" si="48"/>
        <v>0.49243224216825066</v>
      </c>
      <c r="K71" s="206">
        <f t="shared" si="49"/>
        <v>0</v>
      </c>
      <c r="L71" s="207">
        <f t="shared" ref="L71:L73" si="57">C11/C51</f>
        <v>64.150000000000006</v>
      </c>
      <c r="M71" s="208">
        <f t="shared" si="50"/>
        <v>0</v>
      </c>
      <c r="N71" s="208">
        <f t="shared" si="51"/>
        <v>0</v>
      </c>
      <c r="O71" s="209">
        <f t="shared" si="52"/>
        <v>0</v>
      </c>
    </row>
    <row r="72" spans="1:15">
      <c r="A72" s="217" t="str">
        <f t="shared" si="45"/>
        <v>Convert Medium Pressure Center Pivot to Low pressure system - Montana</v>
      </c>
      <c r="B72" s="217" t="str">
        <f t="shared" si="45"/>
        <v>Convert Medium Pressure Center Pivot to Low pressure system - Montana</v>
      </c>
      <c r="C72" s="172">
        <f t="shared" si="53"/>
        <v>19597.898158378513</v>
      </c>
      <c r="D72" s="172"/>
      <c r="E72" s="172">
        <f t="shared" si="54"/>
        <v>19597.898158378513</v>
      </c>
      <c r="F72" s="172">
        <f t="shared" si="55"/>
        <v>155.81570539639128</v>
      </c>
      <c r="G72" s="170">
        <f t="shared" si="56"/>
        <v>0</v>
      </c>
      <c r="H72" s="170">
        <f t="shared" si="46"/>
        <v>123.174470669084</v>
      </c>
      <c r="I72" s="204">
        <f t="shared" si="47"/>
        <v>0</v>
      </c>
      <c r="J72" s="205">
        <f t="shared" si="48"/>
        <v>0.36042306380075062</v>
      </c>
      <c r="K72" s="206">
        <f t="shared" si="49"/>
        <v>0</v>
      </c>
      <c r="L72" s="207">
        <f t="shared" si="57"/>
        <v>24.056249999999999</v>
      </c>
      <c r="M72" s="208">
        <f t="shared" si="50"/>
        <v>0</v>
      </c>
      <c r="N72" s="208">
        <f t="shared" si="51"/>
        <v>4.437288302933398</v>
      </c>
      <c r="O72" s="209">
        <f t="shared" si="52"/>
        <v>5</v>
      </c>
    </row>
    <row r="73" spans="1:15">
      <c r="A73" s="217" t="str">
        <f t="shared" si="45"/>
        <v>Convert wheel line systems to low pressure systems on alfalfa acreage - Montana</v>
      </c>
      <c r="B73" s="217" t="str">
        <f t="shared" si="45"/>
        <v>Convert wheel line systems to low pressure systems on alfalfa acreage - Montana</v>
      </c>
      <c r="C73" s="172">
        <f t="shared" si="53"/>
        <v>23860.209956222803</v>
      </c>
      <c r="D73" s="172"/>
      <c r="E73" s="172">
        <f t="shared" si="54"/>
        <v>23860.209956222803</v>
      </c>
      <c r="F73" s="172">
        <f t="shared" si="55"/>
        <v>189.70378431349377</v>
      </c>
      <c r="G73" s="170">
        <f t="shared" si="56"/>
        <v>0</v>
      </c>
      <c r="H73" s="170">
        <f t="shared" si="46"/>
        <v>117.82843746179742</v>
      </c>
      <c r="I73" s="204">
        <f t="shared" si="47"/>
        <v>0</v>
      </c>
      <c r="J73" s="205">
        <f t="shared" si="48"/>
        <v>0.27361709040695303</v>
      </c>
      <c r="K73" s="206">
        <f t="shared" si="49"/>
        <v>0</v>
      </c>
      <c r="L73" s="207">
        <f t="shared" si="57"/>
        <v>166.79</v>
      </c>
      <c r="M73" s="208">
        <f t="shared" si="50"/>
        <v>4.8112499999999994</v>
      </c>
      <c r="N73" s="208">
        <f t="shared" si="51"/>
        <v>0</v>
      </c>
      <c r="O73" s="209">
        <f t="shared" si="52"/>
        <v>0</v>
      </c>
    </row>
    <row r="74" spans="1:15" ht="13.5" thickBot="1">
      <c r="A74" s="218" t="str">
        <f t="shared" si="45"/>
        <v>Convert hand line systems to low pressure systems on alfalfa acreage - Montana</v>
      </c>
      <c r="B74" s="218" t="str">
        <f t="shared" si="45"/>
        <v>Convert hand line systems to low pressure systems on alfalfa acreage - Montana</v>
      </c>
      <c r="C74" s="183">
        <f t="shared" si="53"/>
        <v>23860.209956222803</v>
      </c>
      <c r="D74" s="183"/>
      <c r="E74" s="183">
        <f t="shared" si="54"/>
        <v>23860.209956222803</v>
      </c>
      <c r="F74" s="183">
        <f t="shared" si="55"/>
        <v>189.70378431349377</v>
      </c>
      <c r="G74" s="181">
        <f t="shared" si="56"/>
        <v>0</v>
      </c>
      <c r="H74" s="181">
        <f t="shared" si="46"/>
        <v>117.82843746179742</v>
      </c>
      <c r="I74" s="211">
        <f t="shared" si="47"/>
        <v>0</v>
      </c>
      <c r="J74" s="212">
        <f t="shared" si="48"/>
        <v>0.27361709040695303</v>
      </c>
      <c r="K74" s="213">
        <f t="shared" si="49"/>
        <v>0</v>
      </c>
      <c r="L74" s="214">
        <f>C11/C54</f>
        <v>64.150000000000006</v>
      </c>
      <c r="M74" s="215">
        <f t="shared" si="50"/>
        <v>15.395999999999999</v>
      </c>
      <c r="N74" s="215">
        <f t="shared" si="51"/>
        <v>0</v>
      </c>
      <c r="O74" s="216">
        <f t="shared" si="52"/>
        <v>0</v>
      </c>
    </row>
    <row r="75" spans="1:15">
      <c r="A75" s="203" t="str">
        <f t="shared" si="45"/>
        <v>Convert High Pressure Center Pivot to Low pressure system - Oregon</v>
      </c>
      <c r="B75" s="203" t="str">
        <f t="shared" si="45"/>
        <v>Convert High Pressure Center Pivot to Low pressure system - Oregon</v>
      </c>
      <c r="C75" s="172">
        <f t="shared" si="53"/>
        <v>24619.423372059406</v>
      </c>
      <c r="D75" s="172"/>
      <c r="E75" s="172">
        <f t="shared" si="54"/>
        <v>24619.423372059406</v>
      </c>
      <c r="F75" s="172">
        <f t="shared" si="55"/>
        <v>401.32895738875931</v>
      </c>
      <c r="G75" s="170">
        <f t="shared" si="56"/>
        <v>0</v>
      </c>
      <c r="H75" s="170">
        <f t="shared" si="46"/>
        <v>232.65446805145467</v>
      </c>
      <c r="I75" s="204">
        <f t="shared" si="47"/>
        <v>0</v>
      </c>
      <c r="J75" s="205">
        <f t="shared" si="48"/>
        <v>0.41630937105540428</v>
      </c>
      <c r="K75" s="206">
        <f t="shared" si="49"/>
        <v>0</v>
      </c>
      <c r="L75" s="207">
        <f>C12/C55</f>
        <v>49.322923996876881</v>
      </c>
      <c r="M75" s="208">
        <f t="shared" si="50"/>
        <v>0</v>
      </c>
      <c r="N75" s="208">
        <f t="shared" si="51"/>
        <v>0</v>
      </c>
      <c r="O75" s="209">
        <f t="shared" si="52"/>
        <v>0</v>
      </c>
    </row>
    <row r="76" spans="1:15">
      <c r="A76" s="203" t="str">
        <f t="shared" si="45"/>
        <v>Convert Medium Pressure Center Pivot to Low pressure system - Oregon</v>
      </c>
      <c r="B76" s="203" t="str">
        <f t="shared" si="45"/>
        <v>Convert Medium Pressure Center Pivot to Low pressure system - Oregon</v>
      </c>
      <c r="C76" s="172">
        <f t="shared" si="53"/>
        <v>14786.33671740596</v>
      </c>
      <c r="D76" s="172"/>
      <c r="E76" s="172">
        <f t="shared" si="54"/>
        <v>14786.33671740596</v>
      </c>
      <c r="F76" s="172">
        <f t="shared" si="55"/>
        <v>241.03672164516954</v>
      </c>
      <c r="G76" s="170">
        <f t="shared" si="56"/>
        <v>0</v>
      </c>
      <c r="H76" s="170">
        <f t="shared" si="46"/>
        <v>139.73143283777944</v>
      </c>
      <c r="I76" s="204">
        <f t="shared" si="47"/>
        <v>0</v>
      </c>
      <c r="J76" s="205">
        <f t="shared" si="48"/>
        <v>0.29989989989989985</v>
      </c>
      <c r="K76" s="206">
        <f t="shared" si="49"/>
        <v>0</v>
      </c>
      <c r="L76" s="207">
        <f>C13/C56</f>
        <v>341.97227304501308</v>
      </c>
      <c r="M76" s="208">
        <f t="shared" si="50"/>
        <v>0</v>
      </c>
      <c r="N76" s="208">
        <f t="shared" si="51"/>
        <v>9.0978449973630475</v>
      </c>
      <c r="O76" s="209">
        <f t="shared" si="52"/>
        <v>5</v>
      </c>
    </row>
    <row r="77" spans="1:15">
      <c r="A77" s="203" t="str">
        <f t="shared" si="45"/>
        <v>Convert wheel line systems to low pressure systems on alfalfa acreage - Oregon</v>
      </c>
      <c r="B77" s="203" t="str">
        <f t="shared" si="45"/>
        <v>Convert wheel line systems to low pressure systems on alfalfa acreage - Oregon</v>
      </c>
      <c r="C77" s="172">
        <f t="shared" si="53"/>
        <v>24053.9545705251</v>
      </c>
      <c r="D77" s="172"/>
      <c r="E77" s="172">
        <f t="shared" si="54"/>
        <v>24053.9545705251</v>
      </c>
      <c r="F77" s="172">
        <f t="shared" si="55"/>
        <v>392.11107274840714</v>
      </c>
      <c r="G77" s="170">
        <f t="shared" si="56"/>
        <v>0</v>
      </c>
      <c r="H77" s="170">
        <f t="shared" si="46"/>
        <v>142.06922925666925</v>
      </c>
      <c r="I77" s="204">
        <f t="shared" si="47"/>
        <v>0</v>
      </c>
      <c r="J77" s="205">
        <f t="shared" si="48"/>
        <v>0.2905949271992273</v>
      </c>
      <c r="K77" s="206">
        <f t="shared" si="49"/>
        <v>0</v>
      </c>
      <c r="L77" s="207">
        <f>C14/C57</f>
        <v>78.916678395003004</v>
      </c>
      <c r="M77" s="208">
        <f t="shared" si="50"/>
        <v>4.8112499999999994</v>
      </c>
      <c r="N77" s="208">
        <f t="shared" si="51"/>
        <v>0</v>
      </c>
      <c r="O77" s="209">
        <f t="shared" si="52"/>
        <v>0</v>
      </c>
    </row>
    <row r="78" spans="1:15" ht="13.5" thickBot="1">
      <c r="A78" s="210" t="str">
        <f t="shared" si="45"/>
        <v>Convert hand line systems to low pressure systems on alfalfa acreage - Oregon</v>
      </c>
      <c r="B78" s="210" t="str">
        <f t="shared" si="45"/>
        <v>Convert hand line systems to low pressure systems on alfalfa acreage - Oregon</v>
      </c>
      <c r="C78" s="183">
        <f t="shared" si="53"/>
        <v>24053.9545705251</v>
      </c>
      <c r="D78" s="183"/>
      <c r="E78" s="183">
        <f t="shared" si="54"/>
        <v>24053.9545705251</v>
      </c>
      <c r="F78" s="183">
        <f t="shared" si="55"/>
        <v>392.11107274840714</v>
      </c>
      <c r="G78" s="181">
        <f t="shared" si="56"/>
        <v>0</v>
      </c>
      <c r="H78" s="181">
        <f t="shared" si="46"/>
        <v>142.06922925666925</v>
      </c>
      <c r="I78" s="211">
        <f t="shared" si="47"/>
        <v>0</v>
      </c>
      <c r="J78" s="212">
        <f t="shared" si="48"/>
        <v>0.2905949271992273</v>
      </c>
      <c r="K78" s="213">
        <f t="shared" si="49"/>
        <v>0</v>
      </c>
      <c r="L78" s="214">
        <f t="shared" ref="L78:L80" si="58">C18/C58</f>
        <v>38.489999999999995</v>
      </c>
      <c r="M78" s="215">
        <f t="shared" si="50"/>
        <v>15.395999999999999</v>
      </c>
      <c r="N78" s="215">
        <f t="shared" si="51"/>
        <v>0</v>
      </c>
      <c r="O78" s="216">
        <f t="shared" si="52"/>
        <v>0</v>
      </c>
    </row>
    <row r="79" spans="1:15">
      <c r="A79" s="217" t="str">
        <f t="shared" si="45"/>
        <v>Convert High Pressure Center Pivot to Low pressure system - Washington</v>
      </c>
      <c r="B79" s="217" t="str">
        <f t="shared" si="45"/>
        <v>Convert High Pressure Center Pivot to Low pressure system - Washington</v>
      </c>
      <c r="C79" s="172">
        <f>T39-T59</f>
        <v>54534.150629543539</v>
      </c>
      <c r="D79" s="172"/>
      <c r="E79" s="172">
        <f>+C79+D79</f>
        <v>54534.150629543539</v>
      </c>
      <c r="F79" s="172">
        <f>E79/C59</f>
        <v>677.76274432530477</v>
      </c>
      <c r="G79" s="170">
        <f>U39-U59</f>
        <v>0</v>
      </c>
      <c r="H79" s="170">
        <f>W39-W59</f>
        <v>282.40114346887697</v>
      </c>
      <c r="I79" s="204">
        <f>V39-V59</f>
        <v>0</v>
      </c>
      <c r="J79" s="205">
        <f>C79/T39</f>
        <v>0.35656449665812817</v>
      </c>
      <c r="K79" s="206">
        <f>I79/V39</f>
        <v>0</v>
      </c>
      <c r="L79" s="207">
        <f t="shared" si="58"/>
        <v>64.150000000000006</v>
      </c>
      <c r="M79" s="208">
        <f t="shared" si="50"/>
        <v>0</v>
      </c>
      <c r="N79" s="208">
        <f t="shared" si="51"/>
        <v>0</v>
      </c>
      <c r="O79" s="209">
        <f t="shared" si="52"/>
        <v>0</v>
      </c>
    </row>
    <row r="80" spans="1:15">
      <c r="A80" s="217" t="str">
        <f t="shared" si="45"/>
        <v>Convert Medium Pressure Center Pivot to Low pressure system - Washington</v>
      </c>
      <c r="B80" s="217" t="str">
        <f t="shared" si="45"/>
        <v>Convert Medium Pressure Center Pivot to Low pressure system - Washington</v>
      </c>
      <c r="C80" s="172">
        <f>T40-T60</f>
        <v>35809.70815905284</v>
      </c>
      <c r="D80" s="172"/>
      <c r="E80" s="172">
        <f t="shared" si="54"/>
        <v>35809.70815905284</v>
      </c>
      <c r="F80" s="172">
        <f t="shared" si="55"/>
        <v>445.05114309453501</v>
      </c>
      <c r="G80" s="170">
        <f>U40-U60</f>
        <v>0</v>
      </c>
      <c r="H80" s="170">
        <f>W40-W60</f>
        <v>185.43797628938955</v>
      </c>
      <c r="I80" s="204">
        <f>V40-V60</f>
        <v>0</v>
      </c>
      <c r="J80" s="205">
        <f>C80/T40</f>
        <v>0.26680087233685623</v>
      </c>
      <c r="K80" s="206">
        <f>I80/V40</f>
        <v>0</v>
      </c>
      <c r="L80" s="207">
        <f t="shared" si="58"/>
        <v>24.056249999999999</v>
      </c>
      <c r="M80" s="208">
        <f t="shared" si="50"/>
        <v>0</v>
      </c>
      <c r="N80" s="208">
        <f t="shared" si="51"/>
        <v>6.936255026529242</v>
      </c>
      <c r="O80" s="209">
        <f t="shared" si="52"/>
        <v>5</v>
      </c>
    </row>
    <row r="81" spans="1:15">
      <c r="A81" s="217" t="str">
        <f t="shared" si="45"/>
        <v>Convert wheel line systems to low pressure systems on alfalfa acreage - Washington</v>
      </c>
      <c r="B81" s="217" t="str">
        <f t="shared" si="45"/>
        <v>Convert wheel line systems to low pressure systems on alfalfa acreage - Washington</v>
      </c>
      <c r="C81" s="172">
        <f>T41-T61</f>
        <v>32447.256720463731</v>
      </c>
      <c r="D81" s="172"/>
      <c r="E81" s="172">
        <f t="shared" si="54"/>
        <v>32447.256720463731</v>
      </c>
      <c r="F81" s="172">
        <f t="shared" si="55"/>
        <v>403.26183697404838</v>
      </c>
      <c r="G81" s="170">
        <f>U41-U61</f>
        <v>0</v>
      </c>
      <c r="H81" s="170">
        <f>W41-W61</f>
        <v>146.10936122248137</v>
      </c>
      <c r="I81" s="204">
        <f>V41-V61</f>
        <v>0</v>
      </c>
      <c r="J81" s="205">
        <f>C81/T41</f>
        <v>0.2472768174283686</v>
      </c>
      <c r="K81" s="206">
        <f>I81/V41</f>
        <v>0</v>
      </c>
      <c r="L81" s="207">
        <f>C15/C61</f>
        <v>48.908368968785467</v>
      </c>
      <c r="M81" s="208">
        <f t="shared" si="50"/>
        <v>4.8112499999999994</v>
      </c>
      <c r="N81" s="208">
        <f t="shared" si="51"/>
        <v>0</v>
      </c>
      <c r="O81" s="209">
        <f t="shared" si="52"/>
        <v>0</v>
      </c>
    </row>
    <row r="82" spans="1:15" ht="13.5" thickBot="1">
      <c r="A82" s="218" t="str">
        <f t="shared" si="45"/>
        <v>Convert hand line systems to low pressure systems on alfalfa acreage - Washington</v>
      </c>
      <c r="B82" s="218" t="str">
        <f t="shared" si="45"/>
        <v>Convert hand line systems to low pressure systems on alfalfa acreage - Washington</v>
      </c>
      <c r="C82" s="183">
        <f>T42-T62</f>
        <v>32447.256720463731</v>
      </c>
      <c r="D82" s="183"/>
      <c r="E82" s="183">
        <f t="shared" si="54"/>
        <v>32447.256720463731</v>
      </c>
      <c r="F82" s="183">
        <f t="shared" si="55"/>
        <v>403.26183697404838</v>
      </c>
      <c r="G82" s="181">
        <f>U42-U62</f>
        <v>0</v>
      </c>
      <c r="H82" s="181">
        <f>W42-W62</f>
        <v>146.10936122248137</v>
      </c>
      <c r="I82" s="211">
        <f>V42-V62</f>
        <v>0</v>
      </c>
      <c r="J82" s="212">
        <f>C82/T42</f>
        <v>0.2472768174283686</v>
      </c>
      <c r="K82" s="213">
        <f>I82/V42</f>
        <v>0</v>
      </c>
      <c r="L82" s="214">
        <f>C16/C62</f>
        <v>18.340638363294548</v>
      </c>
      <c r="M82" s="215">
        <f t="shared" si="50"/>
        <v>15.395999999999999</v>
      </c>
      <c r="N82" s="215">
        <f t="shared" si="51"/>
        <v>0</v>
      </c>
      <c r="O82" s="216">
        <f t="shared" si="52"/>
        <v>0</v>
      </c>
    </row>
    <row r="92" spans="1:15">
      <c r="A92"/>
      <c r="B92"/>
      <c r="C92"/>
      <c r="D92"/>
      <c r="E92"/>
      <c r="F92"/>
    </row>
    <row r="93" spans="1:15">
      <c r="A93"/>
      <c r="B93"/>
      <c r="C93"/>
      <c r="D93"/>
      <c r="E93"/>
      <c r="F93"/>
    </row>
    <row r="94" spans="1:15">
      <c r="A94"/>
      <c r="B94"/>
      <c r="C94"/>
      <c r="D94"/>
      <c r="E94"/>
      <c r="F94"/>
    </row>
    <row r="95" spans="1:15">
      <c r="A95"/>
      <c r="B95"/>
      <c r="C95"/>
      <c r="D95"/>
      <c r="E95"/>
      <c r="F95"/>
    </row>
    <row r="96" spans="1:15">
      <c r="A96"/>
      <c r="B96"/>
      <c r="C96"/>
      <c r="D96"/>
      <c r="E96"/>
      <c r="F96"/>
    </row>
    <row r="97" spans="1:6">
      <c r="A97"/>
      <c r="B97"/>
      <c r="C97"/>
      <c r="D97"/>
      <c r="E97"/>
      <c r="F97"/>
    </row>
    <row r="98" spans="1:6">
      <c r="A98"/>
      <c r="B98"/>
      <c r="C98"/>
      <c r="D98"/>
      <c r="E98"/>
      <c r="F98"/>
    </row>
    <row r="99" spans="1:6">
      <c r="A99"/>
      <c r="B99"/>
      <c r="C99"/>
      <c r="D99"/>
      <c r="E99"/>
      <c r="F99"/>
    </row>
    <row r="100" spans="1:6">
      <c r="A100"/>
      <c r="B100"/>
      <c r="C100"/>
      <c r="D100"/>
      <c r="E100"/>
      <c r="F100"/>
    </row>
    <row r="101" spans="1:6">
      <c r="A101"/>
      <c r="B101"/>
      <c r="C101"/>
      <c r="D101"/>
      <c r="E101"/>
      <c r="F101"/>
    </row>
    <row r="102" spans="1:6">
      <c r="A102"/>
      <c r="B102"/>
      <c r="C102"/>
      <c r="D102"/>
      <c r="E102"/>
      <c r="F102"/>
    </row>
    <row r="103" spans="1:6">
      <c r="A103"/>
      <c r="B103"/>
      <c r="C103"/>
      <c r="D103"/>
      <c r="E103"/>
      <c r="F103"/>
    </row>
    <row r="104" spans="1:6">
      <c r="A104"/>
      <c r="B104"/>
      <c r="C104"/>
      <c r="D104"/>
      <c r="E104"/>
      <c r="F104"/>
    </row>
    <row r="105" spans="1:6">
      <c r="A105"/>
      <c r="B105"/>
      <c r="C105"/>
      <c r="D105"/>
      <c r="E105"/>
      <c r="F105"/>
    </row>
    <row r="106" spans="1:6">
      <c r="A106"/>
      <c r="B106"/>
      <c r="C106"/>
      <c r="D106"/>
      <c r="E106"/>
      <c r="F106"/>
    </row>
    <row r="107" spans="1:6">
      <c r="A107"/>
      <c r="B107"/>
      <c r="C107"/>
      <c r="D107"/>
      <c r="E107"/>
      <c r="F107"/>
    </row>
    <row r="108" spans="1:6">
      <c r="A108"/>
      <c r="B108"/>
      <c r="C108"/>
      <c r="D108"/>
      <c r="E108"/>
      <c r="F108"/>
    </row>
    <row r="109" spans="1:6">
      <c r="A109"/>
      <c r="B109"/>
      <c r="C109"/>
      <c r="D109"/>
      <c r="E109"/>
      <c r="F109"/>
    </row>
    <row r="110" spans="1:6">
      <c r="A110"/>
      <c r="B110"/>
      <c r="C110"/>
      <c r="D110"/>
      <c r="E110"/>
      <c r="F110"/>
    </row>
    <row r="111" spans="1:6">
      <c r="A111"/>
      <c r="B111"/>
      <c r="C111"/>
      <c r="D111"/>
      <c r="E111"/>
      <c r="F111"/>
    </row>
    <row r="112" spans="1:6">
      <c r="A112"/>
      <c r="B112"/>
      <c r="C112"/>
      <c r="D112"/>
      <c r="E112"/>
      <c r="F112"/>
    </row>
    <row r="113" spans="1:6">
      <c r="A113"/>
      <c r="B113"/>
      <c r="C113"/>
      <c r="D113"/>
      <c r="E113"/>
      <c r="F113"/>
    </row>
    <row r="114" spans="1:6">
      <c r="A114"/>
      <c r="B114"/>
      <c r="C114"/>
      <c r="D114"/>
      <c r="E114"/>
      <c r="F114"/>
    </row>
    <row r="115" spans="1:6">
      <c r="A115"/>
      <c r="B115"/>
      <c r="C115"/>
      <c r="D115"/>
      <c r="E115"/>
      <c r="F115"/>
    </row>
    <row r="116" spans="1:6">
      <c r="A116"/>
      <c r="B116"/>
      <c r="C116"/>
      <c r="D116"/>
      <c r="E116"/>
      <c r="F116"/>
    </row>
    <row r="117" spans="1:6">
      <c r="A117"/>
      <c r="B117"/>
      <c r="C117"/>
      <c r="D117"/>
      <c r="E117"/>
      <c r="F117"/>
    </row>
    <row r="118" spans="1:6">
      <c r="A118"/>
      <c r="B118"/>
      <c r="C118"/>
      <c r="D118"/>
      <c r="E118"/>
      <c r="F118"/>
    </row>
    <row r="119" spans="1:6">
      <c r="A119"/>
      <c r="B119"/>
      <c r="C119"/>
      <c r="D119"/>
      <c r="E119"/>
      <c r="F119"/>
    </row>
    <row r="120" spans="1:6">
      <c r="A120"/>
      <c r="B120"/>
      <c r="C120"/>
      <c r="D120"/>
      <c r="E120"/>
      <c r="F120"/>
    </row>
    <row r="121" spans="1:6">
      <c r="A121"/>
      <c r="B121"/>
      <c r="C121"/>
      <c r="D121"/>
      <c r="E121"/>
      <c r="F121"/>
    </row>
    <row r="122" spans="1:6">
      <c r="A122"/>
      <c r="B122"/>
      <c r="C122"/>
      <c r="D122"/>
      <c r="E122"/>
      <c r="F122"/>
    </row>
    <row r="123" spans="1:6">
      <c r="A123"/>
      <c r="B123"/>
      <c r="C123"/>
      <c r="D123"/>
      <c r="E123"/>
      <c r="F123"/>
    </row>
    <row r="124" spans="1:6">
      <c r="A124"/>
      <c r="B124"/>
      <c r="C124"/>
      <c r="D124"/>
      <c r="E124"/>
      <c r="F124"/>
    </row>
    <row r="125" spans="1:6">
      <c r="A125"/>
      <c r="B125"/>
      <c r="C125"/>
      <c r="D125"/>
      <c r="E125"/>
      <c r="F125"/>
    </row>
    <row r="126" spans="1:6">
      <c r="A126"/>
      <c r="B126"/>
      <c r="C126"/>
      <c r="D126"/>
      <c r="E126"/>
      <c r="F126"/>
    </row>
    <row r="127" spans="1:6">
      <c r="A127"/>
      <c r="B127"/>
      <c r="C127"/>
      <c r="D127"/>
      <c r="E127"/>
      <c r="F127"/>
    </row>
    <row r="128" spans="1:6">
      <c r="A128"/>
      <c r="B128"/>
      <c r="C128"/>
      <c r="D128"/>
      <c r="E128"/>
      <c r="F128"/>
    </row>
    <row r="129" spans="1:6">
      <c r="A129"/>
      <c r="B129"/>
      <c r="C129"/>
      <c r="D129"/>
      <c r="E129"/>
      <c r="F129"/>
    </row>
  </sheetData>
  <mergeCells count="2">
    <mergeCell ref="C3:D3"/>
    <mergeCell ref="C4:D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7PSourceSummary</vt:lpstr>
      <vt:lpstr>forRPM</vt:lpstr>
      <vt:lpstr>SC-Retro</vt:lpstr>
      <vt:lpstr>Accomplishments</vt:lpstr>
      <vt:lpstr>M_Input_Out</vt:lpstr>
      <vt:lpstr>M_Input</vt:lpstr>
      <vt:lpstr>Increment</vt:lpstr>
      <vt:lpstr>Raw</vt:lpstr>
      <vt:lpstr>Input</vt:lpstr>
      <vt:lpstr>Assump</vt:lpstr>
      <vt:lpstr>Costs</vt:lpstr>
      <vt:lpstr>ConvertHandLine_LowCst</vt:lpstr>
      <vt:lpstr>ConvertHi_LowCst</vt:lpstr>
      <vt:lpstr>ConvertMed_LowCst</vt:lpstr>
      <vt:lpstr>ConvertWheelLine_LowCst</vt:lpstr>
      <vt:lpstr>Deflator</vt:lpstr>
      <vt:lpstr>HandLine_OandM</vt:lpstr>
      <vt:lpstr>MeasureOutput</vt:lpstr>
      <vt:lpstr>Nozzle_PeriodicRepl</vt:lpstr>
      <vt:lpstr>PreWaterUseID</vt:lpstr>
      <vt:lpstr>PreWaterUseMT</vt:lpstr>
      <vt:lpstr>PreWaterUseOR</vt:lpstr>
      <vt:lpstr>PreWaterUseWA</vt:lpstr>
      <vt:lpstr>PumpDepthID</vt:lpstr>
      <vt:lpstr>PumpDepthMT</vt:lpstr>
      <vt:lpstr>PumpDepthOR</vt:lpstr>
      <vt:lpstr>PumpDepthWA</vt:lpstr>
      <vt:lpstr>PumpPSIID</vt:lpstr>
      <vt:lpstr>PumpPSIMT</vt:lpstr>
      <vt:lpstr>PumpPSIOR</vt:lpstr>
      <vt:lpstr>PumpPSIWA</vt:lpstr>
      <vt:lpstr>WheelLine_OandM</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2015-03-16T23:16:55Z</dcterms:modified>
</cp:coreProperties>
</file>