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3780" yWindow="255" windowWidth="20730" windowHeight="11445" tabRatio="707" activeTab="2"/>
  </bookViews>
  <sheets>
    <sheet name="7PSourceSummary" sheetId="120" r:id="rId1"/>
    <sheet name="forRPM" sheetId="125" r:id="rId2"/>
    <sheet name="SC-Retro" sheetId="119" r:id="rId3"/>
    <sheet name="M_Input_Out" sheetId="124" r:id="rId4"/>
    <sheet name="M_Input" sheetId="123" r:id="rId5"/>
    <sheet name="Raw" sheetId="107" r:id="rId6"/>
    <sheet name="Accomplishments" sheetId="122" r:id="rId7"/>
    <sheet name="Input Assumptions" sheetId="110" r:id="rId8"/>
    <sheet name="EUI by End Use" sheetId="111" r:id="rId9"/>
    <sheet name="EUI by Equipment Type" sheetId="112" r:id="rId10"/>
    <sheet name="ECM Estimated Cost &amp; Savings" sheetId="113" r:id="rId11"/>
    <sheet name="State Dairy Production Data" sheetId="114" r:id="rId12"/>
    <sheet name="Milk Production by Herd Size" sheetId="115" r:id="rId13"/>
    <sheet name="Milking Cows by State" sheetId="118" r:id="rId14"/>
    <sheet name="CA EUIs and ECM Savings Est" sheetId="116" r:id="rId15"/>
  </sheets>
  <externalReferences>
    <externalReference r:id="rId16"/>
    <externalReference r:id="rId17"/>
  </externalReferences>
  <definedNames>
    <definedName name="_xlnm._FilterDatabase" localSheetId="6" hidden="1">Accomplishments!$A$1:$G$44</definedName>
    <definedName name="_xlnm._FilterDatabase" localSheetId="11" hidden="1">'State Dairy Production Data'!$Y$2:$AI$22</definedName>
    <definedName name="_Key1" localSheetId="0" hidden="1">#REF!</definedName>
    <definedName name="_Key1" localSheetId="1" hidden="1">#REF!</definedName>
    <definedName name="_Key1" hidden="1">#REF!</definedName>
    <definedName name="_Key1old" localSheetId="0" hidden="1">#REF!</definedName>
    <definedName name="_Key1old" localSheetId="1" hidden="1">#REF!</definedName>
    <definedName name="_Key1old" hidden="1">#REF!</definedName>
    <definedName name="_Order1" hidden="1">255</definedName>
    <definedName name="_Sort" localSheetId="0" hidden="1">#REF!</definedName>
    <definedName name="_Sort" localSheetId="1" hidden="1">#REF!</definedName>
    <definedName name="_Sort" hidden="1">#REF!</definedName>
    <definedName name="_SortOld" localSheetId="0" hidden="1">#REF!</definedName>
    <definedName name="_SortOld" localSheetId="1" hidden="1">#REF!</definedName>
    <definedName name="_SortOld" hidden="1">#REF!</definedName>
    <definedName name="anscount" hidden="1">1</definedName>
    <definedName name="CBWorkbookPriority" hidden="1">-738590518</definedName>
    <definedName name="GDP_Deflator">'EUI by Equipment Type'!$P$40</definedName>
    <definedName name="limcount" hidden="1">1</definedName>
    <definedName name="MeasureOutput">M_Input_Out!$A$4:$AM$100</definedName>
    <definedName name="sencount" hidden="1">1</definedName>
    <definedName name="solver_adj" localSheetId="8" hidden="1">'EUI by End Use'!$AC$16</definedName>
    <definedName name="solver_cvg" localSheetId="8" hidden="1">0.0001</definedName>
    <definedName name="solver_drv" localSheetId="8" hidden="1">1</definedName>
    <definedName name="solver_est" localSheetId="8" hidden="1">1</definedName>
    <definedName name="solver_itr" localSheetId="8" hidden="1">100</definedName>
    <definedName name="solver_lin" localSheetId="8" hidden="1">2</definedName>
    <definedName name="solver_neg" localSheetId="8" hidden="1">2</definedName>
    <definedName name="solver_num" localSheetId="8" hidden="1">0</definedName>
    <definedName name="solver_nwt" localSheetId="8" hidden="1">1</definedName>
    <definedName name="solver_opt" localSheetId="8" hidden="1">'EUI by End Use'!$AC$18</definedName>
    <definedName name="solver_pre" localSheetId="8" hidden="1">0.000001</definedName>
    <definedName name="solver_scl" localSheetId="8" hidden="1">2</definedName>
    <definedName name="solver_sho" localSheetId="8" hidden="1">2</definedName>
    <definedName name="solver_tim" localSheetId="8" hidden="1">100</definedName>
    <definedName name="solver_tol" localSheetId="8" hidden="1">0.05</definedName>
    <definedName name="solver_typ" localSheetId="8" hidden="1">3</definedName>
    <definedName name="solver_val" localSheetId="8" hidden="1">23239</definedName>
    <definedName name="sort" localSheetId="1" hidden="1">#REF!</definedName>
    <definedName name="sort" hidden="1">#REF!</definedName>
  </definedNames>
  <calcPr calcId="125725"/>
</workbook>
</file>

<file path=xl/calcChain.xml><?xml version="1.0" encoding="utf-8"?>
<calcChain xmlns="http://schemas.openxmlformats.org/spreadsheetml/2006/main">
  <c r="B60" i="110"/>
  <c r="B45"/>
  <c r="B40" l="1"/>
  <c r="D40"/>
  <c r="AE25" i="114"/>
  <c r="Q28" i="115"/>
  <c r="Q26"/>
  <c r="M119" i="110" l="1"/>
  <c r="L119"/>
  <c r="K119"/>
  <c r="M82"/>
  <c r="L82"/>
  <c r="K82"/>
  <c r="M8"/>
  <c r="L8"/>
  <c r="K8"/>
  <c r="D9" i="119" l="1"/>
  <c r="C9"/>
  <c r="A9" l="1"/>
  <c r="J3" i="115" l="1"/>
  <c r="F38" i="113"/>
  <c r="J30" i="125"/>
  <c r="I30"/>
  <c r="E30" s="1"/>
  <c r="J29"/>
  <c r="AY29" s="1"/>
  <c r="I29"/>
  <c r="E29" s="1"/>
  <c r="J28"/>
  <c r="I28"/>
  <c r="E28" s="1"/>
  <c r="J27"/>
  <c r="BD27" s="1"/>
  <c r="I27"/>
  <c r="E27" s="1"/>
  <c r="J26"/>
  <c r="I26"/>
  <c r="E26" s="1"/>
  <c r="J25"/>
  <c r="BD25" s="1"/>
  <c r="I25"/>
  <c r="E25" s="1"/>
  <c r="J24"/>
  <c r="I24"/>
  <c r="E24" s="1"/>
  <c r="J23"/>
  <c r="BC23" s="1"/>
  <c r="I23"/>
  <c r="E23" s="1"/>
  <c r="J22"/>
  <c r="I22"/>
  <c r="E22" s="1"/>
  <c r="J21"/>
  <c r="AV21" s="1"/>
  <c r="I21"/>
  <c r="E21" s="1"/>
  <c r="J20"/>
  <c r="I20"/>
  <c r="E20" s="1"/>
  <c r="J19"/>
  <c r="BC19" s="1"/>
  <c r="I19"/>
  <c r="E19" s="1"/>
  <c r="J18"/>
  <c r="I18"/>
  <c r="E18" s="1"/>
  <c r="J17"/>
  <c r="BB17" s="1"/>
  <c r="I17"/>
  <c r="E17" s="1"/>
  <c r="J16"/>
  <c r="I16"/>
  <c r="E16" s="1"/>
  <c r="J15"/>
  <c r="AQ15" s="1"/>
  <c r="I15"/>
  <c r="E15" s="1"/>
  <c r="J14"/>
  <c r="I14"/>
  <c r="E14" s="1"/>
  <c r="J13"/>
  <c r="AT13" s="1"/>
  <c r="I13"/>
  <c r="E13" s="1"/>
  <c r="J12"/>
  <c r="I12"/>
  <c r="E12" s="1"/>
  <c r="J11"/>
  <c r="AZ11" s="1"/>
  <c r="I11"/>
  <c r="E11" s="1"/>
  <c r="J10"/>
  <c r="I10"/>
  <c r="E10" s="1"/>
  <c r="J9"/>
  <c r="I9"/>
  <c r="E9" s="1"/>
  <c r="J8"/>
  <c r="I8"/>
  <c r="E8" s="1"/>
  <c r="J7"/>
  <c r="AQ7" s="1"/>
  <c r="I7"/>
  <c r="E7" s="1"/>
  <c r="J6"/>
  <c r="I6"/>
  <c r="E6" s="1"/>
  <c r="J5"/>
  <c r="AW5" s="1"/>
  <c r="I5"/>
  <c r="E5" s="1"/>
  <c r="J4"/>
  <c r="I4"/>
  <c r="E4" s="1"/>
  <c r="J3"/>
  <c r="BD3" s="1"/>
  <c r="I3"/>
  <c r="E3" s="1"/>
  <c r="BC30"/>
  <c r="C30"/>
  <c r="B30"/>
  <c r="C29"/>
  <c r="B29"/>
  <c r="BD28"/>
  <c r="AQ28"/>
  <c r="AM28"/>
  <c r="AU28"/>
  <c r="C28"/>
  <c r="B28"/>
  <c r="A28" s="1"/>
  <c r="AW27"/>
  <c r="AJ27"/>
  <c r="C27"/>
  <c r="B27"/>
  <c r="A27" s="1"/>
  <c r="C26"/>
  <c r="A26" s="1"/>
  <c r="B26"/>
  <c r="AV25"/>
  <c r="BB25"/>
  <c r="C25"/>
  <c r="A25" s="1"/>
  <c r="B25"/>
  <c r="BA24"/>
  <c r="AZ24"/>
  <c r="AS24"/>
  <c r="AQ24"/>
  <c r="AN24"/>
  <c r="AI24"/>
  <c r="AF24"/>
  <c r="C24"/>
  <c r="B24"/>
  <c r="C23"/>
  <c r="B23"/>
  <c r="BD22"/>
  <c r="C22"/>
  <c r="B22"/>
  <c r="AM21"/>
  <c r="C21"/>
  <c r="A21" s="1"/>
  <c r="B21"/>
  <c r="BD20"/>
  <c r="AZ20"/>
  <c r="AW20"/>
  <c r="AQ20"/>
  <c r="AN20"/>
  <c r="AM20"/>
  <c r="AF20"/>
  <c r="BB20"/>
  <c r="C20"/>
  <c r="B20"/>
  <c r="C19"/>
  <c r="A19" s="1"/>
  <c r="B19"/>
  <c r="C18"/>
  <c r="B18"/>
  <c r="C17"/>
  <c r="A17" s="1"/>
  <c r="B17"/>
  <c r="C16"/>
  <c r="B16"/>
  <c r="A16" s="1"/>
  <c r="C15"/>
  <c r="B15"/>
  <c r="AW14"/>
  <c r="C14"/>
  <c r="A14" s="1"/>
  <c r="B14"/>
  <c r="C13"/>
  <c r="B13"/>
  <c r="A13" s="1"/>
  <c r="C12"/>
  <c r="B12"/>
  <c r="C11"/>
  <c r="B11"/>
  <c r="A11" s="1"/>
  <c r="AW10"/>
  <c r="C10"/>
  <c r="B10"/>
  <c r="C9"/>
  <c r="A9" s="1"/>
  <c r="B9"/>
  <c r="C8"/>
  <c r="B8"/>
  <c r="A8" s="1"/>
  <c r="C7"/>
  <c r="A7" s="1"/>
  <c r="B7"/>
  <c r="BA6"/>
  <c r="C6"/>
  <c r="B6"/>
  <c r="C5"/>
  <c r="A5" s="1"/>
  <c r="B5"/>
  <c r="C4"/>
  <c r="B4"/>
  <c r="A4" s="1"/>
  <c r="C3"/>
  <c r="B3"/>
  <c r="BD18"/>
  <c r="AV18"/>
  <c r="AS18"/>
  <c r="BC18"/>
  <c r="BB18"/>
  <c r="AV15"/>
  <c r="F15"/>
  <c r="A15"/>
  <c r="AV14"/>
  <c r="AS14"/>
  <c r="AM14"/>
  <c r="BB14"/>
  <c r="AX13"/>
  <c r="F12"/>
  <c r="BD11"/>
  <c r="BC11"/>
  <c r="BD10"/>
  <c r="BA10"/>
  <c r="AM10"/>
  <c r="AJ10"/>
  <c r="BC10"/>
  <c r="AY7"/>
  <c r="BA7"/>
  <c r="AW6"/>
  <c r="AQ6"/>
  <c r="AN6"/>
  <c r="F6"/>
  <c r="A6"/>
  <c r="A3"/>
  <c r="AD2"/>
  <c r="AC2"/>
  <c r="AB2"/>
  <c r="AA2"/>
  <c r="Z2"/>
  <c r="Y2"/>
  <c r="X2"/>
  <c r="W2"/>
  <c r="V2"/>
  <c r="U2"/>
  <c r="T2"/>
  <c r="S2"/>
  <c r="R2"/>
  <c r="Q2"/>
  <c r="P2"/>
  <c r="O2"/>
  <c r="N2"/>
  <c r="M2"/>
  <c r="L2"/>
  <c r="K2"/>
  <c r="AK5" l="1"/>
  <c r="F7"/>
  <c r="AP7"/>
  <c r="BA11"/>
  <c r="AV11"/>
  <c r="AM15"/>
  <c r="AI21"/>
  <c r="BD21"/>
  <c r="AQ25"/>
  <c r="AI27"/>
  <c r="AS27"/>
  <c r="F3"/>
  <c r="BB4"/>
  <c r="AF6"/>
  <c r="AI7"/>
  <c r="AT9"/>
  <c r="AV10"/>
  <c r="F11"/>
  <c r="AQ11"/>
  <c r="AL12"/>
  <c r="BC14"/>
  <c r="BD14"/>
  <c r="AI15"/>
  <c r="BD15"/>
  <c r="AM18"/>
  <c r="AX4"/>
  <c r="AT5"/>
  <c r="AU8"/>
  <c r="A10"/>
  <c r="A12"/>
  <c r="AG13"/>
  <c r="AW18"/>
  <c r="A20"/>
  <c r="AI20"/>
  <c r="AV20"/>
  <c r="BB21"/>
  <c r="AZ21"/>
  <c r="F22"/>
  <c r="A24"/>
  <c r="AJ24"/>
  <c r="AW24"/>
  <c r="AI25"/>
  <c r="AF27"/>
  <c r="AQ27"/>
  <c r="BA27"/>
  <c r="BA28"/>
  <c r="AV28"/>
  <c r="BD29"/>
  <c r="AZ6"/>
  <c r="AS10"/>
  <c r="AU12"/>
  <c r="BA14"/>
  <c r="BD16"/>
  <c r="BA18"/>
  <c r="BA20"/>
  <c r="BC22"/>
  <c r="BD24"/>
  <c r="BC26"/>
  <c r="AZ28"/>
  <c r="AH7"/>
  <c r="AZ7"/>
  <c r="AM11"/>
  <c r="BC15"/>
  <c r="AZ15"/>
  <c r="BA5"/>
  <c r="A18"/>
  <c r="F21"/>
  <c r="AQ21"/>
  <c r="A22"/>
  <c r="A23"/>
  <c r="BA25"/>
  <c r="AZ25"/>
  <c r="AN27"/>
  <c r="AZ27"/>
  <c r="A29"/>
  <c r="A30"/>
  <c r="AI6"/>
  <c r="BC7"/>
  <c r="BB10"/>
  <c r="AI11"/>
  <c r="AJ14"/>
  <c r="BA15"/>
  <c r="F16"/>
  <c r="AJ18"/>
  <c r="AJ20"/>
  <c r="AS20"/>
  <c r="BA21"/>
  <c r="BB24"/>
  <c r="AM24"/>
  <c r="AV24"/>
  <c r="AM25"/>
  <c r="BB27"/>
  <c r="AM27"/>
  <c r="AV27"/>
  <c r="F28"/>
  <c r="AI28"/>
  <c r="AK26"/>
  <c r="AT26"/>
  <c r="BB26"/>
  <c r="AH29"/>
  <c r="AP29"/>
  <c r="BC29"/>
  <c r="AK30"/>
  <c r="AT30"/>
  <c r="AX30"/>
  <c r="AF26"/>
  <c r="AH28"/>
  <c r="AP28"/>
  <c r="AY28"/>
  <c r="BC28"/>
  <c r="AK29"/>
  <c r="AJ30"/>
  <c r="AS30"/>
  <c r="BA30"/>
  <c r="AI26"/>
  <c r="AM26"/>
  <c r="AQ26"/>
  <c r="AV26"/>
  <c r="AZ26"/>
  <c r="BD26"/>
  <c r="F27"/>
  <c r="AH27"/>
  <c r="AL27"/>
  <c r="AP27"/>
  <c r="AU27"/>
  <c r="AY27"/>
  <c r="BC27"/>
  <c r="AG28"/>
  <c r="AK28"/>
  <c r="AO28"/>
  <c r="AT28"/>
  <c r="AX28"/>
  <c r="BB28"/>
  <c r="AF29"/>
  <c r="AJ29"/>
  <c r="AN29"/>
  <c r="AS29"/>
  <c r="AW29"/>
  <c r="BA29"/>
  <c r="AI30"/>
  <c r="AM30"/>
  <c r="AQ30"/>
  <c r="AV30"/>
  <c r="AZ30"/>
  <c r="BD30"/>
  <c r="AG26"/>
  <c r="AO26"/>
  <c r="AX26"/>
  <c r="F29"/>
  <c r="AL29"/>
  <c r="AU29"/>
  <c r="AG30"/>
  <c r="AO30"/>
  <c r="BB30"/>
  <c r="AJ26"/>
  <c r="AN26"/>
  <c r="AS26"/>
  <c r="AW26"/>
  <c r="BA26"/>
  <c r="AL28"/>
  <c r="AG29"/>
  <c r="AO29"/>
  <c r="AT29"/>
  <c r="AX29"/>
  <c r="BB29"/>
  <c r="AF30"/>
  <c r="AN30"/>
  <c r="AW30"/>
  <c r="F26"/>
  <c r="AH26"/>
  <c r="AL26"/>
  <c r="AP26"/>
  <c r="AU26"/>
  <c r="AY26"/>
  <c r="AG27"/>
  <c r="AK27"/>
  <c r="AO27"/>
  <c r="AT27"/>
  <c r="AX27"/>
  <c r="AF28"/>
  <c r="AJ28"/>
  <c r="AN28"/>
  <c r="AS28"/>
  <c r="AW28"/>
  <c r="AI29"/>
  <c r="AM29"/>
  <c r="AQ29"/>
  <c r="AV29"/>
  <c r="AZ29"/>
  <c r="F30"/>
  <c r="AH30"/>
  <c r="AL30"/>
  <c r="AP30"/>
  <c r="AU30"/>
  <c r="AY30"/>
  <c r="AK19"/>
  <c r="BB19"/>
  <c r="AF19"/>
  <c r="AJ19"/>
  <c r="AN19"/>
  <c r="AS19"/>
  <c r="AW19"/>
  <c r="BA19"/>
  <c r="AG22"/>
  <c r="AO22"/>
  <c r="AF23"/>
  <c r="AN23"/>
  <c r="AW23"/>
  <c r="AH25"/>
  <c r="AL25"/>
  <c r="AP25"/>
  <c r="AU25"/>
  <c r="BC25"/>
  <c r="AI19"/>
  <c r="AM19"/>
  <c r="AQ19"/>
  <c r="AV19"/>
  <c r="AZ19"/>
  <c r="BD19"/>
  <c r="F20"/>
  <c r="AH20"/>
  <c r="AL20"/>
  <c r="AP20"/>
  <c r="AU20"/>
  <c r="AY20"/>
  <c r="BC20"/>
  <c r="AG21"/>
  <c r="AK21"/>
  <c r="AO21"/>
  <c r="AT21"/>
  <c r="AX21"/>
  <c r="AF22"/>
  <c r="AJ22"/>
  <c r="AN22"/>
  <c r="AS22"/>
  <c r="AW22"/>
  <c r="BA22"/>
  <c r="AI23"/>
  <c r="AM23"/>
  <c r="AQ23"/>
  <c r="AV23"/>
  <c r="AZ23"/>
  <c r="BD23"/>
  <c r="F24"/>
  <c r="AH24"/>
  <c r="AL24"/>
  <c r="AP24"/>
  <c r="AU24"/>
  <c r="AY24"/>
  <c r="BC24"/>
  <c r="AG25"/>
  <c r="AK25"/>
  <c r="AO25"/>
  <c r="AT25"/>
  <c r="AX25"/>
  <c r="AG19"/>
  <c r="AO19"/>
  <c r="AT19"/>
  <c r="AX19"/>
  <c r="AH22"/>
  <c r="AL22"/>
  <c r="AP22"/>
  <c r="AU22"/>
  <c r="AY22"/>
  <c r="AG23"/>
  <c r="AK23"/>
  <c r="AO23"/>
  <c r="AT23"/>
  <c r="AX23"/>
  <c r="BB23"/>
  <c r="AH21"/>
  <c r="AL21"/>
  <c r="AP21"/>
  <c r="AU21"/>
  <c r="AY21"/>
  <c r="BC21"/>
  <c r="AK22"/>
  <c r="AT22"/>
  <c r="AX22"/>
  <c r="BB22"/>
  <c r="AJ23"/>
  <c r="AS23"/>
  <c r="BA23"/>
  <c r="F25"/>
  <c r="AY25"/>
  <c r="F19"/>
  <c r="AH19"/>
  <c r="AL19"/>
  <c r="AP19"/>
  <c r="AU19"/>
  <c r="AY19"/>
  <c r="AG20"/>
  <c r="AK20"/>
  <c r="AO20"/>
  <c r="AT20"/>
  <c r="AX20"/>
  <c r="AF21"/>
  <c r="AJ21"/>
  <c r="AN21"/>
  <c r="AS21"/>
  <c r="AW21"/>
  <c r="AI22"/>
  <c r="AM22"/>
  <c r="AQ22"/>
  <c r="AV22"/>
  <c r="AZ22"/>
  <c r="F23"/>
  <c r="AH23"/>
  <c r="AL23"/>
  <c r="AP23"/>
  <c r="AU23"/>
  <c r="AY23"/>
  <c r="AG24"/>
  <c r="AK24"/>
  <c r="AO24"/>
  <c r="AT24"/>
  <c r="AX24"/>
  <c r="AF25"/>
  <c r="AJ25"/>
  <c r="AN25"/>
  <c r="AS25"/>
  <c r="AW25"/>
  <c r="F4"/>
  <c r="AF5"/>
  <c r="AS5"/>
  <c r="BB5"/>
  <c r="BC6"/>
  <c r="AM6"/>
  <c r="AV6"/>
  <c r="BD6"/>
  <c r="F10"/>
  <c r="AI10"/>
  <c r="AQ10"/>
  <c r="AZ10"/>
  <c r="AP12"/>
  <c r="AY12"/>
  <c r="AO13"/>
  <c r="F14"/>
  <c r="AI14"/>
  <c r="AQ14"/>
  <c r="AZ14"/>
  <c r="BC16"/>
  <c r="F18"/>
  <c r="AI18"/>
  <c r="AQ18"/>
  <c r="AZ18"/>
  <c r="AJ5"/>
  <c r="AH12"/>
  <c r="BC12"/>
  <c r="AN5"/>
  <c r="BB6"/>
  <c r="AJ6"/>
  <c r="AS6"/>
  <c r="AF10"/>
  <c r="AN10"/>
  <c r="BD12"/>
  <c r="AF14"/>
  <c r="AN14"/>
  <c r="AF18"/>
  <c r="AN18"/>
  <c r="BC5"/>
  <c r="AY5"/>
  <c r="AU5"/>
  <c r="AP5"/>
  <c r="AL5"/>
  <c r="AH5"/>
  <c r="F5"/>
  <c r="BD5"/>
  <c r="AZ5"/>
  <c r="AV5"/>
  <c r="AQ5"/>
  <c r="AM5"/>
  <c r="AI5"/>
  <c r="BC13"/>
  <c r="AY13"/>
  <c r="AU13"/>
  <c r="AP13"/>
  <c r="AL13"/>
  <c r="AH13"/>
  <c r="F13"/>
  <c r="BD13"/>
  <c r="AZ13"/>
  <c r="AV13"/>
  <c r="AQ13"/>
  <c r="AM13"/>
  <c r="AI13"/>
  <c r="BA13"/>
  <c r="AW13"/>
  <c r="AS13"/>
  <c r="AN13"/>
  <c r="AJ13"/>
  <c r="AF13"/>
  <c r="AL3"/>
  <c r="AU3"/>
  <c r="BC3"/>
  <c r="AK4"/>
  <c r="AT4"/>
  <c r="AP8"/>
  <c r="BD8"/>
  <c r="AL8"/>
  <c r="BC8"/>
  <c r="AG9"/>
  <c r="AX9"/>
  <c r="AH3"/>
  <c r="AP3"/>
  <c r="AY3"/>
  <c r="AG4"/>
  <c r="AO4"/>
  <c r="AG5"/>
  <c r="AO5"/>
  <c r="AX5"/>
  <c r="AM7"/>
  <c r="AV7"/>
  <c r="AH8"/>
  <c r="AY8"/>
  <c r="AK13"/>
  <c r="BB13"/>
  <c r="BC9"/>
  <c r="AY9"/>
  <c r="AU9"/>
  <c r="AP9"/>
  <c r="AL9"/>
  <c r="AH9"/>
  <c r="F9"/>
  <c r="BD9"/>
  <c r="AZ9"/>
  <c r="AV9"/>
  <c r="AQ9"/>
  <c r="AM9"/>
  <c r="AI9"/>
  <c r="BA9"/>
  <c r="AW9"/>
  <c r="AS9"/>
  <c r="AN9"/>
  <c r="AJ9"/>
  <c r="AF9"/>
  <c r="BD4"/>
  <c r="AZ4"/>
  <c r="AV4"/>
  <c r="AQ4"/>
  <c r="AM4"/>
  <c r="AI4"/>
  <c r="BA4"/>
  <c r="AW4"/>
  <c r="AS4"/>
  <c r="AN4"/>
  <c r="AJ4"/>
  <c r="AF4"/>
  <c r="F8"/>
  <c r="AK9"/>
  <c r="BB9"/>
  <c r="BA3"/>
  <c r="AI3"/>
  <c r="AQ3"/>
  <c r="AZ3"/>
  <c r="AH4"/>
  <c r="AP4"/>
  <c r="AY4"/>
  <c r="AM3"/>
  <c r="AV3"/>
  <c r="AL4"/>
  <c r="AU4"/>
  <c r="BC4"/>
  <c r="AL7"/>
  <c r="AU7"/>
  <c r="BD7"/>
  <c r="AO9"/>
  <c r="AG8"/>
  <c r="AK8"/>
  <c r="AO8"/>
  <c r="AT8"/>
  <c r="AX8"/>
  <c r="BB8"/>
  <c r="AH11"/>
  <c r="AL11"/>
  <c r="AP11"/>
  <c r="AU11"/>
  <c r="AY11"/>
  <c r="AG12"/>
  <c r="AK12"/>
  <c r="AO12"/>
  <c r="AT12"/>
  <c r="AX12"/>
  <c r="BB12"/>
  <c r="AH15"/>
  <c r="AL15"/>
  <c r="AP15"/>
  <c r="AU15"/>
  <c r="AY15"/>
  <c r="AG16"/>
  <c r="AK16"/>
  <c r="AO16"/>
  <c r="AT16"/>
  <c r="AX16"/>
  <c r="BB16"/>
  <c r="AF17"/>
  <c r="AJ17"/>
  <c r="AN17"/>
  <c r="AS17"/>
  <c r="AW17"/>
  <c r="BA17"/>
  <c r="AG3"/>
  <c r="AK3"/>
  <c r="AO3"/>
  <c r="AT3"/>
  <c r="AX3"/>
  <c r="BB3"/>
  <c r="AH6"/>
  <c r="AL6"/>
  <c r="AP6"/>
  <c r="AU6"/>
  <c r="AY6"/>
  <c r="AG7"/>
  <c r="AK7"/>
  <c r="AO7"/>
  <c r="AT7"/>
  <c r="AX7"/>
  <c r="BB7"/>
  <c r="AF8"/>
  <c r="AJ8"/>
  <c r="AN8"/>
  <c r="AS8"/>
  <c r="AW8"/>
  <c r="BA8"/>
  <c r="AH10"/>
  <c r="AL10"/>
  <c r="AP10"/>
  <c r="AU10"/>
  <c r="AY10"/>
  <c r="AG11"/>
  <c r="AK11"/>
  <c r="AO11"/>
  <c r="AT11"/>
  <c r="AX11"/>
  <c r="BB11"/>
  <c r="AF12"/>
  <c r="AJ12"/>
  <c r="AN12"/>
  <c r="AS12"/>
  <c r="AW12"/>
  <c r="BA12"/>
  <c r="AH14"/>
  <c r="AL14"/>
  <c r="AP14"/>
  <c r="AU14"/>
  <c r="AY14"/>
  <c r="AG15"/>
  <c r="AK15"/>
  <c r="AO15"/>
  <c r="AT15"/>
  <c r="AX15"/>
  <c r="BB15"/>
  <c r="AF16"/>
  <c r="AJ16"/>
  <c r="AN16"/>
  <c r="AS16"/>
  <c r="AW16"/>
  <c r="BA16"/>
  <c r="AI17"/>
  <c r="AM17"/>
  <c r="AQ17"/>
  <c r="AV17"/>
  <c r="AZ17"/>
  <c r="BD17"/>
  <c r="AH18"/>
  <c r="AL18"/>
  <c r="AP18"/>
  <c r="AU18"/>
  <c r="AY18"/>
  <c r="AF3"/>
  <c r="AJ3"/>
  <c r="AN3"/>
  <c r="AS3"/>
  <c r="AW3"/>
  <c r="AG6"/>
  <c r="AK6"/>
  <c r="AO6"/>
  <c r="AT6"/>
  <c r="AX6"/>
  <c r="AF7"/>
  <c r="AJ7"/>
  <c r="AN7"/>
  <c r="AS7"/>
  <c r="AW7"/>
  <c r="AI8"/>
  <c r="AM8"/>
  <c r="AQ8"/>
  <c r="AV8"/>
  <c r="AZ8"/>
  <c r="AG10"/>
  <c r="AK10"/>
  <c r="AO10"/>
  <c r="AT10"/>
  <c r="AX10"/>
  <c r="AF11"/>
  <c r="AJ11"/>
  <c r="AN11"/>
  <c r="AS11"/>
  <c r="AW11"/>
  <c r="AI12"/>
  <c r="AM12"/>
  <c r="AQ12"/>
  <c r="AV12"/>
  <c r="AZ12"/>
  <c r="AG14"/>
  <c r="AK14"/>
  <c r="AO14"/>
  <c r="AT14"/>
  <c r="AX14"/>
  <c r="AF15"/>
  <c r="AJ15"/>
  <c r="AN15"/>
  <c r="AS15"/>
  <c r="AW15"/>
  <c r="AI16"/>
  <c r="AM16"/>
  <c r="AQ16"/>
  <c r="AV16"/>
  <c r="AZ16"/>
  <c r="F17"/>
  <c r="AH17"/>
  <c r="AL17"/>
  <c r="AP17"/>
  <c r="AU17"/>
  <c r="AY17"/>
  <c r="BC17"/>
  <c r="AG18"/>
  <c r="AK18"/>
  <c r="AO18"/>
  <c r="AT18"/>
  <c r="AX18"/>
  <c r="AH16"/>
  <c r="AL16"/>
  <c r="AP16"/>
  <c r="AU16"/>
  <c r="AY16"/>
  <c r="AG17"/>
  <c r="AK17"/>
  <c r="AO17"/>
  <c r="AT17"/>
  <c r="AX17"/>
  <c r="F50" i="122" l="1"/>
  <c r="G50"/>
  <c r="F51"/>
  <c r="G51"/>
  <c r="F52"/>
  <c r="G52"/>
  <c r="G49"/>
  <c r="F49"/>
  <c r="K4" i="115"/>
  <c r="C22" s="1"/>
  <c r="K5"/>
  <c r="K6"/>
  <c r="C24" s="1"/>
  <c r="K3"/>
  <c r="J4"/>
  <c r="J5"/>
  <c r="J6"/>
  <c r="H5"/>
  <c r="H6"/>
  <c r="C21"/>
  <c r="D22"/>
  <c r="D21"/>
  <c r="H3"/>
  <c r="C23" l="1"/>
  <c r="Z28" i="119"/>
  <c r="Z29"/>
  <c r="Z30"/>
  <c r="Z31"/>
  <c r="Z32"/>
  <c r="Z33"/>
  <c r="Z34"/>
  <c r="Z35"/>
  <c r="Z36"/>
  <c r="Z37"/>
  <c r="Z38"/>
  <c r="Z39"/>
  <c r="Z40"/>
  <c r="Z41"/>
  <c r="Z42"/>
  <c r="Z43"/>
  <c r="Z44"/>
  <c r="Z45"/>
  <c r="Z46"/>
  <c r="Z47"/>
  <c r="Z48"/>
  <c r="Z49"/>
  <c r="Z50"/>
  <c r="Z51"/>
  <c r="Z52"/>
  <c r="Z53"/>
  <c r="Z54"/>
  <c r="Z27"/>
  <c r="B63"/>
  <c r="B64"/>
  <c r="B65"/>
  <c r="B66"/>
  <c r="B67"/>
  <c r="B68"/>
  <c r="B69"/>
  <c r="B70"/>
  <c r="B71"/>
  <c r="B72"/>
  <c r="B73"/>
  <c r="B74"/>
  <c r="B75"/>
  <c r="B76"/>
  <c r="B77"/>
  <c r="B78"/>
  <c r="B79"/>
  <c r="B80"/>
  <c r="B81"/>
  <c r="B82"/>
  <c r="B83"/>
  <c r="B84"/>
  <c r="B85"/>
  <c r="B86"/>
  <c r="B87"/>
  <c r="B88"/>
  <c r="B89"/>
  <c r="B62"/>
  <c r="A101"/>
  <c r="G4" i="125" s="1"/>
  <c r="B101" i="119"/>
  <c r="H4" i="125" s="1"/>
  <c r="A102" i="119"/>
  <c r="G5" i="125" s="1"/>
  <c r="B102" i="119"/>
  <c r="H5" i="125" s="1"/>
  <c r="A103" i="119"/>
  <c r="G6" i="125" s="1"/>
  <c r="B103" i="119"/>
  <c r="H6" i="125" s="1"/>
  <c r="A104" i="119"/>
  <c r="G7" i="125" s="1"/>
  <c r="B104" i="119"/>
  <c r="H7" i="125" s="1"/>
  <c r="A105" i="119"/>
  <c r="G8" i="125" s="1"/>
  <c r="B105" i="119"/>
  <c r="H8" i="125" s="1"/>
  <c r="A106" i="119"/>
  <c r="G9" i="125" s="1"/>
  <c r="B106" i="119"/>
  <c r="H9" i="125" s="1"/>
  <c r="A107" i="119"/>
  <c r="G10" i="125" s="1"/>
  <c r="B107" i="119"/>
  <c r="H10" i="125" s="1"/>
  <c r="A108" i="119"/>
  <c r="G11" i="125" s="1"/>
  <c r="B108" i="119"/>
  <c r="H11" i="125" s="1"/>
  <c r="A109" i="119"/>
  <c r="G12" i="125" s="1"/>
  <c r="B109" i="119"/>
  <c r="H12" i="125" s="1"/>
  <c r="A110" i="119"/>
  <c r="G13" i="125" s="1"/>
  <c r="B110" i="119"/>
  <c r="H13" i="125" s="1"/>
  <c r="A111" i="119"/>
  <c r="G14" i="125" s="1"/>
  <c r="B111" i="119"/>
  <c r="H14" i="125" s="1"/>
  <c r="A112" i="119"/>
  <c r="G15" i="125" s="1"/>
  <c r="B112" i="119"/>
  <c r="H15" i="125" s="1"/>
  <c r="A113" i="119"/>
  <c r="G16" i="125" s="1"/>
  <c r="B113" i="119"/>
  <c r="H16" i="125" s="1"/>
  <c r="A114" i="119"/>
  <c r="G17" i="125" s="1"/>
  <c r="B114" i="119"/>
  <c r="H17" i="125" s="1"/>
  <c r="A115" i="119"/>
  <c r="G18" i="125" s="1"/>
  <c r="B115" i="119"/>
  <c r="H18" i="125" s="1"/>
  <c r="A116" i="119"/>
  <c r="G19" i="125" s="1"/>
  <c r="B116" i="119"/>
  <c r="H19" i="125" s="1"/>
  <c r="A117" i="119"/>
  <c r="G20" i="125" s="1"/>
  <c r="B117" i="119"/>
  <c r="H20" i="125" s="1"/>
  <c r="A118" i="119"/>
  <c r="G21" i="125" s="1"/>
  <c r="B118" i="119"/>
  <c r="H21" i="125" s="1"/>
  <c r="A119" i="119"/>
  <c r="G22" i="125" s="1"/>
  <c r="B119" i="119"/>
  <c r="H22" i="125" s="1"/>
  <c r="A120" i="119"/>
  <c r="G23" i="125" s="1"/>
  <c r="B120" i="119"/>
  <c r="H23" i="125" s="1"/>
  <c r="A121" i="119"/>
  <c r="G24" i="125" s="1"/>
  <c r="B121" i="119"/>
  <c r="H24" i="125" s="1"/>
  <c r="A122" i="119"/>
  <c r="G25" i="125" s="1"/>
  <c r="B122" i="119"/>
  <c r="H25" i="125" s="1"/>
  <c r="A123" i="119"/>
  <c r="G26" i="125" s="1"/>
  <c r="B123" i="119"/>
  <c r="H26" i="125" s="1"/>
  <c r="A124" i="119"/>
  <c r="G27" i="125" s="1"/>
  <c r="B124" i="119"/>
  <c r="H27" i="125" s="1"/>
  <c r="A125" i="119"/>
  <c r="G28" i="125" s="1"/>
  <c r="B125" i="119"/>
  <c r="H28" i="125" s="1"/>
  <c r="A126" i="119"/>
  <c r="G29" i="125" s="1"/>
  <c r="B126" i="119"/>
  <c r="H29" i="125" s="1"/>
  <c r="A127" i="119"/>
  <c r="G30" i="125" s="1"/>
  <c r="B127" i="119"/>
  <c r="H30" i="125" s="1"/>
  <c r="B100" i="119"/>
  <c r="H3" i="125" s="1"/>
  <c r="A100" i="119"/>
  <c r="G3" i="125" s="1"/>
  <c r="D8" i="123" l="1"/>
  <c r="F8"/>
  <c r="H8"/>
  <c r="I8"/>
  <c r="J8"/>
  <c r="K8"/>
  <c r="L8"/>
  <c r="M8"/>
  <c r="N8"/>
  <c r="O8"/>
  <c r="D9"/>
  <c r="F9"/>
  <c r="H9"/>
  <c r="I9"/>
  <c r="J9"/>
  <c r="K9"/>
  <c r="L9"/>
  <c r="M9"/>
  <c r="N9"/>
  <c r="O9"/>
  <c r="D10"/>
  <c r="F10"/>
  <c r="H10"/>
  <c r="I10"/>
  <c r="J10"/>
  <c r="K10"/>
  <c r="L10"/>
  <c r="M10"/>
  <c r="N10"/>
  <c r="O10"/>
  <c r="D11"/>
  <c r="F11"/>
  <c r="H11"/>
  <c r="I11"/>
  <c r="J11"/>
  <c r="K11"/>
  <c r="L11"/>
  <c r="M11"/>
  <c r="N11"/>
  <c r="O11"/>
  <c r="D12"/>
  <c r="F12"/>
  <c r="H12"/>
  <c r="I12"/>
  <c r="J12"/>
  <c r="K12"/>
  <c r="L12"/>
  <c r="M12"/>
  <c r="N12"/>
  <c r="O12"/>
  <c r="D13"/>
  <c r="F13"/>
  <c r="H13"/>
  <c r="I13"/>
  <c r="J13"/>
  <c r="K13"/>
  <c r="L13"/>
  <c r="M13"/>
  <c r="N13"/>
  <c r="O13"/>
  <c r="D14"/>
  <c r="F14"/>
  <c r="H14"/>
  <c r="I14"/>
  <c r="J14"/>
  <c r="K14"/>
  <c r="L14"/>
  <c r="M14"/>
  <c r="N14"/>
  <c r="O14"/>
  <c r="D15"/>
  <c r="F15"/>
  <c r="H15"/>
  <c r="I15"/>
  <c r="J15"/>
  <c r="K15"/>
  <c r="L15"/>
  <c r="M15"/>
  <c r="N15"/>
  <c r="O15"/>
  <c r="D16"/>
  <c r="F16"/>
  <c r="H16"/>
  <c r="I16"/>
  <c r="J16"/>
  <c r="K16"/>
  <c r="L16"/>
  <c r="M16"/>
  <c r="N16"/>
  <c r="O16"/>
  <c r="D17"/>
  <c r="F17"/>
  <c r="H17"/>
  <c r="I17"/>
  <c r="J17"/>
  <c r="K17"/>
  <c r="L17"/>
  <c r="M17"/>
  <c r="N17"/>
  <c r="O17"/>
  <c r="D18"/>
  <c r="F18"/>
  <c r="H18"/>
  <c r="I18"/>
  <c r="J18"/>
  <c r="K18"/>
  <c r="L18"/>
  <c r="M18"/>
  <c r="N18"/>
  <c r="O18"/>
  <c r="D19"/>
  <c r="F19"/>
  <c r="H19"/>
  <c r="I19"/>
  <c r="J19"/>
  <c r="K19"/>
  <c r="L19"/>
  <c r="M19"/>
  <c r="N19"/>
  <c r="O19"/>
  <c r="D20"/>
  <c r="F20"/>
  <c r="H20"/>
  <c r="I20"/>
  <c r="J20"/>
  <c r="K20"/>
  <c r="L20"/>
  <c r="M20"/>
  <c r="N20"/>
  <c r="O20"/>
  <c r="D21"/>
  <c r="F21"/>
  <c r="H21"/>
  <c r="I21"/>
  <c r="J21"/>
  <c r="K21"/>
  <c r="L21"/>
  <c r="M21"/>
  <c r="N21"/>
  <c r="O21"/>
  <c r="D22"/>
  <c r="F22"/>
  <c r="H22"/>
  <c r="I22"/>
  <c r="J22"/>
  <c r="K22"/>
  <c r="L22"/>
  <c r="M22"/>
  <c r="N22"/>
  <c r="O22"/>
  <c r="D23"/>
  <c r="F23"/>
  <c r="H23"/>
  <c r="I23"/>
  <c r="J23"/>
  <c r="K23"/>
  <c r="L23"/>
  <c r="M23"/>
  <c r="N23"/>
  <c r="O23"/>
  <c r="D24"/>
  <c r="F24"/>
  <c r="H24"/>
  <c r="I24"/>
  <c r="J24"/>
  <c r="K24"/>
  <c r="L24"/>
  <c r="M24"/>
  <c r="N24"/>
  <c r="O24"/>
  <c r="D25"/>
  <c r="F25"/>
  <c r="H25"/>
  <c r="I25"/>
  <c r="J25"/>
  <c r="K25"/>
  <c r="L25"/>
  <c r="M25"/>
  <c r="N25"/>
  <c r="O25"/>
  <c r="D26"/>
  <c r="F26"/>
  <c r="H26"/>
  <c r="I26"/>
  <c r="J26"/>
  <c r="K26"/>
  <c r="L26"/>
  <c r="M26"/>
  <c r="N26"/>
  <c r="O26"/>
  <c r="D27"/>
  <c r="F27"/>
  <c r="H27"/>
  <c r="I27"/>
  <c r="J27"/>
  <c r="K27"/>
  <c r="L27"/>
  <c r="M27"/>
  <c r="N27"/>
  <c r="O27"/>
  <c r="D28"/>
  <c r="F28"/>
  <c r="H28"/>
  <c r="I28"/>
  <c r="J28"/>
  <c r="K28"/>
  <c r="L28"/>
  <c r="M28"/>
  <c r="N28"/>
  <c r="O28"/>
  <c r="D29"/>
  <c r="F29"/>
  <c r="H29"/>
  <c r="I29"/>
  <c r="J29"/>
  <c r="K29"/>
  <c r="L29"/>
  <c r="M29"/>
  <c r="N29"/>
  <c r="O29"/>
  <c r="D30"/>
  <c r="F30"/>
  <c r="H30"/>
  <c r="I30"/>
  <c r="J30"/>
  <c r="K30"/>
  <c r="L30"/>
  <c r="M30"/>
  <c r="N30"/>
  <c r="O30"/>
  <c r="D31"/>
  <c r="F31"/>
  <c r="H31"/>
  <c r="I31"/>
  <c r="J31"/>
  <c r="K31"/>
  <c r="L31"/>
  <c r="M31"/>
  <c r="N31"/>
  <c r="O31"/>
  <c r="D32"/>
  <c r="F32"/>
  <c r="H32"/>
  <c r="I32"/>
  <c r="J32"/>
  <c r="K32"/>
  <c r="L32"/>
  <c r="M32"/>
  <c r="N32"/>
  <c r="O32"/>
  <c r="D33"/>
  <c r="F33"/>
  <c r="H33"/>
  <c r="I33"/>
  <c r="J33"/>
  <c r="K33"/>
  <c r="L33"/>
  <c r="M33"/>
  <c r="N33"/>
  <c r="O33"/>
  <c r="D34"/>
  <c r="F34"/>
  <c r="H34"/>
  <c r="I34"/>
  <c r="J34"/>
  <c r="K34"/>
  <c r="L34"/>
  <c r="M34"/>
  <c r="N34"/>
  <c r="O34"/>
  <c r="D35"/>
  <c r="F35"/>
  <c r="H35"/>
  <c r="I35"/>
  <c r="J35"/>
  <c r="K35"/>
  <c r="L35"/>
  <c r="M35"/>
  <c r="N35"/>
  <c r="O35"/>
  <c r="B9"/>
  <c r="B10"/>
  <c r="B11"/>
  <c r="B12"/>
  <c r="B13"/>
  <c r="B14"/>
  <c r="B15"/>
  <c r="B16"/>
  <c r="B17"/>
  <c r="B18"/>
  <c r="B19"/>
  <c r="B20"/>
  <c r="B21"/>
  <c r="B22"/>
  <c r="B23"/>
  <c r="B24"/>
  <c r="B25"/>
  <c r="B26"/>
  <c r="B27"/>
  <c r="B28"/>
  <c r="B29"/>
  <c r="B30"/>
  <c r="B31"/>
  <c r="B32"/>
  <c r="B33"/>
  <c r="B34"/>
  <c r="B35"/>
  <c r="B8"/>
  <c r="C101" i="119"/>
  <c r="C102"/>
  <c r="C103"/>
  <c r="C104"/>
  <c r="C105"/>
  <c r="C106"/>
  <c r="C107"/>
  <c r="C108"/>
  <c r="C109"/>
  <c r="C110"/>
  <c r="C111"/>
  <c r="C112"/>
  <c r="C113"/>
  <c r="C114"/>
  <c r="C115"/>
  <c r="C116"/>
  <c r="C117"/>
  <c r="C118"/>
  <c r="C119"/>
  <c r="C120"/>
  <c r="C121"/>
  <c r="C122"/>
  <c r="C123"/>
  <c r="C124"/>
  <c r="C125"/>
  <c r="C126"/>
  <c r="C127"/>
  <c r="C100"/>
  <c r="D101"/>
  <c r="D102"/>
  <c r="D103"/>
  <c r="D104"/>
  <c r="D105"/>
  <c r="D106"/>
  <c r="D107"/>
  <c r="D108"/>
  <c r="D109"/>
  <c r="D110"/>
  <c r="D111"/>
  <c r="D112"/>
  <c r="D113"/>
  <c r="D114"/>
  <c r="D115"/>
  <c r="D116"/>
  <c r="D117"/>
  <c r="D118"/>
  <c r="D119"/>
  <c r="D120"/>
  <c r="D121"/>
  <c r="D122"/>
  <c r="D123"/>
  <c r="D124"/>
  <c r="D125"/>
  <c r="D126"/>
  <c r="D127"/>
  <c r="D100"/>
  <c r="D62"/>
  <c r="D89"/>
  <c r="C89"/>
  <c r="D88"/>
  <c r="C88"/>
  <c r="D87"/>
  <c r="C87"/>
  <c r="D86"/>
  <c r="C86"/>
  <c r="D85"/>
  <c r="C85"/>
  <c r="D84"/>
  <c r="C84"/>
  <c r="D83"/>
  <c r="C83"/>
  <c r="D82"/>
  <c r="C82"/>
  <c r="D81"/>
  <c r="C81"/>
  <c r="D80"/>
  <c r="C80"/>
  <c r="D79"/>
  <c r="C79"/>
  <c r="D78"/>
  <c r="C78"/>
  <c r="D77"/>
  <c r="C77"/>
  <c r="D76"/>
  <c r="C76"/>
  <c r="D75"/>
  <c r="C75"/>
  <c r="D74"/>
  <c r="C74"/>
  <c r="D73"/>
  <c r="C73"/>
  <c r="D72"/>
  <c r="C72"/>
  <c r="D71"/>
  <c r="C71"/>
  <c r="D70"/>
  <c r="C70"/>
  <c r="D69"/>
  <c r="C69"/>
  <c r="X61"/>
  <c r="W61"/>
  <c r="V61"/>
  <c r="U61"/>
  <c r="T61"/>
  <c r="S61"/>
  <c r="R61"/>
  <c r="Q61"/>
  <c r="P61"/>
  <c r="O61"/>
  <c r="N61"/>
  <c r="M61"/>
  <c r="L61"/>
  <c r="K61"/>
  <c r="J61"/>
  <c r="I61"/>
  <c r="H61"/>
  <c r="G61"/>
  <c r="F61"/>
  <c r="E61"/>
  <c r="A11"/>
  <c r="E12"/>
  <c r="X12"/>
  <c r="W12"/>
  <c r="V12"/>
  <c r="U12"/>
  <c r="T12"/>
  <c r="S12"/>
  <c r="R12"/>
  <c r="Q12"/>
  <c r="P12"/>
  <c r="O12"/>
  <c r="N12"/>
  <c r="M12"/>
  <c r="L12"/>
  <c r="K12"/>
  <c r="J12"/>
  <c r="I12"/>
  <c r="H12"/>
  <c r="G12"/>
  <c r="F12"/>
  <c r="E99"/>
  <c r="D63"/>
  <c r="B13"/>
  <c r="B14"/>
  <c r="B15"/>
  <c r="B16"/>
  <c r="B17"/>
  <c r="B18"/>
  <c r="B19"/>
  <c r="B20"/>
  <c r="C26"/>
  <c r="C61"/>
  <c r="D64"/>
  <c r="D65"/>
  <c r="D66"/>
  <c r="D67"/>
  <c r="D68"/>
  <c r="F99"/>
  <c r="G99"/>
  <c r="H99"/>
  <c r="I99"/>
  <c r="J99"/>
  <c r="K99"/>
  <c r="L99"/>
  <c r="M99"/>
  <c r="N99"/>
  <c r="O99"/>
  <c r="P99"/>
  <c r="Q99"/>
  <c r="R99"/>
  <c r="S99"/>
  <c r="T99"/>
  <c r="U99"/>
  <c r="V99"/>
  <c r="W99"/>
  <c r="X99"/>
  <c r="X174"/>
  <c r="W174"/>
  <c r="V174"/>
  <c r="U174"/>
  <c r="T174"/>
  <c r="S174"/>
  <c r="R174"/>
  <c r="Q174"/>
  <c r="P174"/>
  <c r="O174"/>
  <c r="N174"/>
  <c r="M174"/>
  <c r="L174"/>
  <c r="K174"/>
  <c r="J174"/>
  <c r="I174"/>
  <c r="H174"/>
  <c r="G174"/>
  <c r="F174"/>
  <c r="E174"/>
  <c r="X173"/>
  <c r="W173"/>
  <c r="V173"/>
  <c r="U173"/>
  <c r="T173"/>
  <c r="S173"/>
  <c r="R173"/>
  <c r="Q173"/>
  <c r="P173"/>
  <c r="O173"/>
  <c r="N173"/>
  <c r="M173"/>
  <c r="L173"/>
  <c r="K173"/>
  <c r="J173"/>
  <c r="I173"/>
  <c r="H173"/>
  <c r="G173"/>
  <c r="F173"/>
  <c r="E173"/>
  <c r="D173"/>
  <c r="X137"/>
  <c r="W137"/>
  <c r="V137"/>
  <c r="U137"/>
  <c r="T137"/>
  <c r="S137"/>
  <c r="R137"/>
  <c r="Q137"/>
  <c r="P137"/>
  <c r="O137"/>
  <c r="N137"/>
  <c r="M137"/>
  <c r="L137"/>
  <c r="K137"/>
  <c r="J137"/>
  <c r="I137"/>
  <c r="H137"/>
  <c r="G137"/>
  <c r="F137"/>
  <c r="E137"/>
  <c r="X136"/>
  <c r="W136"/>
  <c r="V136"/>
  <c r="U136"/>
  <c r="T136"/>
  <c r="S136"/>
  <c r="R136"/>
  <c r="Q136"/>
  <c r="P136"/>
  <c r="O136"/>
  <c r="N136"/>
  <c r="M136"/>
  <c r="L136"/>
  <c r="K136"/>
  <c r="J136"/>
  <c r="I136"/>
  <c r="H136"/>
  <c r="G136"/>
  <c r="F136"/>
  <c r="E136"/>
  <c r="X98"/>
  <c r="W98"/>
  <c r="V98"/>
  <c r="U98"/>
  <c r="T98"/>
  <c r="S98"/>
  <c r="R98"/>
  <c r="Q98"/>
  <c r="P98"/>
  <c r="O98"/>
  <c r="N98"/>
  <c r="M98"/>
  <c r="L98"/>
  <c r="K98"/>
  <c r="J98"/>
  <c r="I98"/>
  <c r="H98"/>
  <c r="G98"/>
  <c r="F98"/>
  <c r="E98"/>
  <c r="C97"/>
  <c r="C68"/>
  <c r="C67"/>
  <c r="C66"/>
  <c r="C65"/>
  <c r="C64"/>
  <c r="C63"/>
  <c r="C62"/>
  <c r="A60"/>
  <c r="A25"/>
  <c r="V34" i="114"/>
  <c r="W34"/>
  <c r="AE27" s="1"/>
  <c r="D114" i="110" s="1"/>
  <c r="U34" i="114"/>
  <c r="P34"/>
  <c r="O34"/>
  <c r="J34"/>
  <c r="AD25" s="1"/>
  <c r="C40" i="110" s="1"/>
  <c r="I34" i="114"/>
  <c r="D34"/>
  <c r="C34"/>
  <c r="AD24"/>
  <c r="C3" i="110" s="1"/>
  <c r="AD26" i="114"/>
  <c r="C77" i="110" s="1"/>
  <c r="B98" s="1"/>
  <c r="F98" s="1"/>
  <c r="E34" i="114"/>
  <c r="AE24" s="1"/>
  <c r="D3" i="110" s="1"/>
  <c r="BQ77" i="118"/>
  <c r="BO77"/>
  <c r="BM77"/>
  <c r="BK77"/>
  <c r="BI77"/>
  <c r="BG77"/>
  <c r="BQ76"/>
  <c r="BO76"/>
  <c r="BM76"/>
  <c r="BK76"/>
  <c r="BI76"/>
  <c r="BG76"/>
  <c r="BQ75"/>
  <c r="BO75"/>
  <c r="BM75"/>
  <c r="BK75"/>
  <c r="BI75"/>
  <c r="BG75"/>
  <c r="BQ74"/>
  <c r="BO74"/>
  <c r="BM74"/>
  <c r="BK74"/>
  <c r="BI74"/>
  <c r="BG74"/>
  <c r="BQ73"/>
  <c r="BO73"/>
  <c r="BM73"/>
  <c r="BK73"/>
  <c r="BI73"/>
  <c r="BG73"/>
  <c r="BQ72"/>
  <c r="BO72"/>
  <c r="BM72"/>
  <c r="BK72"/>
  <c r="BI72"/>
  <c r="BG72"/>
  <c r="BQ70"/>
  <c r="BO70"/>
  <c r="BM70"/>
  <c r="BK70"/>
  <c r="BI70"/>
  <c r="BG70"/>
  <c r="BQ69"/>
  <c r="BO69"/>
  <c r="BM69"/>
  <c r="BK69"/>
  <c r="BI69"/>
  <c r="BG69"/>
  <c r="BQ68"/>
  <c r="BO68"/>
  <c r="BM68"/>
  <c r="BK68"/>
  <c r="BI68"/>
  <c r="BG68"/>
  <c r="BQ67"/>
  <c r="BO67"/>
  <c r="BM67"/>
  <c r="BK67"/>
  <c r="BI67"/>
  <c r="BG67"/>
  <c r="BQ66"/>
  <c r="BO66"/>
  <c r="BM66"/>
  <c r="BK66"/>
  <c r="BI66"/>
  <c r="BG66"/>
  <c r="BQ65"/>
  <c r="BO65"/>
  <c r="BM65"/>
  <c r="BK65"/>
  <c r="BI65"/>
  <c r="BG65"/>
  <c r="BQ64"/>
  <c r="BO64"/>
  <c r="BM64"/>
  <c r="BK64"/>
  <c r="BI64"/>
  <c r="BG64"/>
  <c r="BQ63"/>
  <c r="BO63"/>
  <c r="BM63"/>
  <c r="BK63"/>
  <c r="BI63"/>
  <c r="BG63"/>
  <c r="BQ62"/>
  <c r="BO62"/>
  <c r="BM62"/>
  <c r="BK62"/>
  <c r="BI62"/>
  <c r="BG62"/>
  <c r="BQ60"/>
  <c r="BO60"/>
  <c r="BM60"/>
  <c r="BK60"/>
  <c r="BI60"/>
  <c r="BG60"/>
  <c r="BQ59"/>
  <c r="BO59"/>
  <c r="BM59"/>
  <c r="BK59"/>
  <c r="BI59"/>
  <c r="BG59"/>
  <c r="BQ58"/>
  <c r="BO58"/>
  <c r="BM58"/>
  <c r="BK58"/>
  <c r="BI58"/>
  <c r="BG58"/>
  <c r="BQ56"/>
  <c r="BO56"/>
  <c r="BM56"/>
  <c r="BK56"/>
  <c r="BI56"/>
  <c r="BG56"/>
  <c r="BQ55"/>
  <c r="BO55"/>
  <c r="BM55"/>
  <c r="BK55"/>
  <c r="BI55"/>
  <c r="BG55"/>
  <c r="BQ54"/>
  <c r="BO54"/>
  <c r="BM54"/>
  <c r="BK54"/>
  <c r="BI54"/>
  <c r="BG54"/>
  <c r="BQ53"/>
  <c r="BO53"/>
  <c r="BM53"/>
  <c r="BK53"/>
  <c r="BI53"/>
  <c r="BG53"/>
  <c r="BQ51"/>
  <c r="BO51"/>
  <c r="BM51"/>
  <c r="BK51"/>
  <c r="BI51"/>
  <c r="BG51"/>
  <c r="BQ50"/>
  <c r="BO50"/>
  <c r="BM50"/>
  <c r="BK50"/>
  <c r="BI50"/>
  <c r="BG50"/>
  <c r="BQ49"/>
  <c r="BO49"/>
  <c r="BM49"/>
  <c r="BK49"/>
  <c r="BI49"/>
  <c r="BG49"/>
  <c r="BQ48"/>
  <c r="BO48"/>
  <c r="BM48"/>
  <c r="BK48"/>
  <c r="BI48"/>
  <c r="BG48"/>
  <c r="BQ47"/>
  <c r="BO47"/>
  <c r="BM47"/>
  <c r="BK47"/>
  <c r="BI47"/>
  <c r="BG47"/>
  <c r="BQ45"/>
  <c r="BO45"/>
  <c r="BM45"/>
  <c r="BK45"/>
  <c r="BI45"/>
  <c r="BG45"/>
  <c r="BQ44"/>
  <c r="BO44"/>
  <c r="BM44"/>
  <c r="BK44"/>
  <c r="BI44"/>
  <c r="BG44"/>
  <c r="BQ43"/>
  <c r="BO43"/>
  <c r="BM43"/>
  <c r="BK43"/>
  <c r="BI43"/>
  <c r="BG43"/>
  <c r="BQ42"/>
  <c r="BO42"/>
  <c r="BM42"/>
  <c r="BK42"/>
  <c r="BI42"/>
  <c r="BG42"/>
  <c r="BQ41"/>
  <c r="BO41"/>
  <c r="BM41"/>
  <c r="BK41"/>
  <c r="BI41"/>
  <c r="BG41"/>
  <c r="BQ40"/>
  <c r="BO40"/>
  <c r="BM40"/>
  <c r="BK40"/>
  <c r="BI40"/>
  <c r="BG40"/>
  <c r="BQ38"/>
  <c r="BO38"/>
  <c r="BM38"/>
  <c r="BK38"/>
  <c r="BI38"/>
  <c r="BG38"/>
  <c r="BQ37"/>
  <c r="BO37"/>
  <c r="BM37"/>
  <c r="BK37"/>
  <c r="BI37"/>
  <c r="BG37"/>
  <c r="BQ36"/>
  <c r="BO36"/>
  <c r="BM36"/>
  <c r="BK36"/>
  <c r="BI36"/>
  <c r="BG36"/>
  <c r="BQ35"/>
  <c r="BO35"/>
  <c r="BM35"/>
  <c r="BK35"/>
  <c r="BI35"/>
  <c r="BG35"/>
  <c r="BQ34"/>
  <c r="BO34"/>
  <c r="BM34"/>
  <c r="BK34"/>
  <c r="BI34"/>
  <c r="BG34"/>
  <c r="BQ32"/>
  <c r="BO32"/>
  <c r="BM32"/>
  <c r="BK32"/>
  <c r="BI32"/>
  <c r="BG32"/>
  <c r="BQ31"/>
  <c r="BO31"/>
  <c r="BM31"/>
  <c r="BK31"/>
  <c r="BI31"/>
  <c r="BG31"/>
  <c r="BQ30"/>
  <c r="BO30"/>
  <c r="BM30"/>
  <c r="BK30"/>
  <c r="BI30"/>
  <c r="BG30"/>
  <c r="BQ29"/>
  <c r="BO29"/>
  <c r="BM29"/>
  <c r="BK29"/>
  <c r="BI29"/>
  <c r="BG29"/>
  <c r="BQ28"/>
  <c r="BO28"/>
  <c r="BM28"/>
  <c r="BK28"/>
  <c r="BI28"/>
  <c r="BG28"/>
  <c r="BQ27"/>
  <c r="BO27"/>
  <c r="BM27"/>
  <c r="BK27"/>
  <c r="BI27"/>
  <c r="BG27"/>
  <c r="BQ25"/>
  <c r="BO25"/>
  <c r="BM25"/>
  <c r="BK25"/>
  <c r="BI25"/>
  <c r="BG25"/>
  <c r="BQ24"/>
  <c r="BO24"/>
  <c r="BM24"/>
  <c r="BK24"/>
  <c r="BI24"/>
  <c r="BG24"/>
  <c r="BQ23"/>
  <c r="BO23"/>
  <c r="BM23"/>
  <c r="BK23"/>
  <c r="BI23"/>
  <c r="BG23"/>
  <c r="BQ22"/>
  <c r="BO22"/>
  <c r="BM22"/>
  <c r="BK22"/>
  <c r="BI22"/>
  <c r="BG22"/>
  <c r="BQ20"/>
  <c r="BO20"/>
  <c r="BM20"/>
  <c r="BK20"/>
  <c r="BI20"/>
  <c r="BG20"/>
  <c r="BQ19"/>
  <c r="BO19"/>
  <c r="BM19"/>
  <c r="BK19"/>
  <c r="BI19"/>
  <c r="BG19"/>
  <c r="BQ18"/>
  <c r="BO18"/>
  <c r="BM18"/>
  <c r="BK18"/>
  <c r="BI18"/>
  <c r="BG18"/>
  <c r="BQ17"/>
  <c r="BO17"/>
  <c r="BM17"/>
  <c r="BK17"/>
  <c r="BI17"/>
  <c r="BG17"/>
  <c r="BQ16"/>
  <c r="BO16"/>
  <c r="BM16"/>
  <c r="BK16"/>
  <c r="BI16"/>
  <c r="BG16"/>
  <c r="BQ15"/>
  <c r="BO15"/>
  <c r="BM15"/>
  <c r="BK15"/>
  <c r="BI15"/>
  <c r="BG15"/>
  <c r="BQ14"/>
  <c r="BO14"/>
  <c r="BM14"/>
  <c r="BK14"/>
  <c r="BI14"/>
  <c r="BG14"/>
  <c r="BQ13"/>
  <c r="BO13"/>
  <c r="BM13"/>
  <c r="BK13"/>
  <c r="BI13"/>
  <c r="BG13"/>
  <c r="BQ12"/>
  <c r="BO12"/>
  <c r="BM12"/>
  <c r="BK12"/>
  <c r="BI12"/>
  <c r="BG12"/>
  <c r="BQ11"/>
  <c r="BO11"/>
  <c r="BM11"/>
  <c r="BK11"/>
  <c r="BI11"/>
  <c r="BG11"/>
  <c r="BQ10"/>
  <c r="BO10"/>
  <c r="BM10"/>
  <c r="BK10"/>
  <c r="BI10"/>
  <c r="BG10"/>
  <c r="BQ9"/>
  <c r="BO9"/>
  <c r="BM9"/>
  <c r="BK9"/>
  <c r="BI9"/>
  <c r="BG9"/>
  <c r="C4" i="115"/>
  <c r="C3"/>
  <c r="C41" i="110"/>
  <c r="D23" i="115"/>
  <c r="C78" i="110" s="1"/>
  <c r="C79"/>
  <c r="C5" i="115"/>
  <c r="C6"/>
  <c r="Z82" i="112"/>
  <c r="X3"/>
  <c r="X4"/>
  <c r="AH4" s="1"/>
  <c r="X5"/>
  <c r="X6"/>
  <c r="AH6" s="1"/>
  <c r="X7"/>
  <c r="AH7" s="1"/>
  <c r="AS7" s="1"/>
  <c r="X8"/>
  <c r="X9"/>
  <c r="AH9" s="1"/>
  <c r="X10"/>
  <c r="AH10" s="1"/>
  <c r="X11"/>
  <c r="X12"/>
  <c r="AH12" s="1"/>
  <c r="AS12" s="1"/>
  <c r="X13"/>
  <c r="AH13"/>
  <c r="X14"/>
  <c r="AH14"/>
  <c r="X15"/>
  <c r="X16"/>
  <c r="X17"/>
  <c r="AH17"/>
  <c r="X18"/>
  <c r="AH18"/>
  <c r="X19"/>
  <c r="AH19" s="1"/>
  <c r="X20"/>
  <c r="X21"/>
  <c r="AH21" s="1"/>
  <c r="AS21" s="1"/>
  <c r="X22"/>
  <c r="AH22" s="1"/>
  <c r="X23"/>
  <c r="AH23" s="1"/>
  <c r="X24"/>
  <c r="X25"/>
  <c r="AH25" s="1"/>
  <c r="X26"/>
  <c r="AH26" s="1"/>
  <c r="X27"/>
  <c r="AH27" s="1"/>
  <c r="X28"/>
  <c r="X29"/>
  <c r="AH29" s="1"/>
  <c r="F29"/>
  <c r="AW29" s="1"/>
  <c r="X30"/>
  <c r="AH30" s="1"/>
  <c r="X31"/>
  <c r="X32"/>
  <c r="AH32" s="1"/>
  <c r="X33"/>
  <c r="AH33" s="1"/>
  <c r="F33"/>
  <c r="AW33" s="1"/>
  <c r="Z65" s="1"/>
  <c r="F32"/>
  <c r="AW32" s="1"/>
  <c r="X34"/>
  <c r="AH34" s="1"/>
  <c r="F34"/>
  <c r="AW34" s="1"/>
  <c r="AI61" s="1"/>
  <c r="AJ61" s="1"/>
  <c r="F25"/>
  <c r="AW25" s="1"/>
  <c r="AI62" s="1"/>
  <c r="AK62" s="1"/>
  <c r="F28"/>
  <c r="AW28" s="1"/>
  <c r="F24"/>
  <c r="AW24" s="1"/>
  <c r="F31"/>
  <c r="AW31" s="1"/>
  <c r="AI65" s="1"/>
  <c r="AK65" s="1"/>
  <c r="F26"/>
  <c r="AW26" s="1"/>
  <c r="F23"/>
  <c r="Q23" i="111" s="1"/>
  <c r="F21" i="112"/>
  <c r="AW21" s="1"/>
  <c r="F22"/>
  <c r="F27"/>
  <c r="AW27"/>
  <c r="F30"/>
  <c r="AW30"/>
  <c r="V3"/>
  <c r="V4"/>
  <c r="AF4" s="1"/>
  <c r="V5"/>
  <c r="V6"/>
  <c r="AD6" s="1"/>
  <c r="V7"/>
  <c r="V8"/>
  <c r="V9"/>
  <c r="AD9" s="1"/>
  <c r="V10"/>
  <c r="V11"/>
  <c r="V12"/>
  <c r="V13"/>
  <c r="AD13"/>
  <c r="V14"/>
  <c r="V15"/>
  <c r="AF15" s="1"/>
  <c r="AS15" s="1"/>
  <c r="V16"/>
  <c r="V17"/>
  <c r="AF17" s="1"/>
  <c r="AS17" s="1"/>
  <c r="V18"/>
  <c r="V19"/>
  <c r="V20"/>
  <c r="V21"/>
  <c r="AD21"/>
  <c r="V22"/>
  <c r="V23"/>
  <c r="V24"/>
  <c r="V25"/>
  <c r="AD25" s="1"/>
  <c r="V26"/>
  <c r="AD26" s="1"/>
  <c r="V27"/>
  <c r="AF27" s="1"/>
  <c r="AS27" s="1"/>
  <c r="V28"/>
  <c r="V29"/>
  <c r="AD29" s="1"/>
  <c r="V30"/>
  <c r="V31"/>
  <c r="V32"/>
  <c r="V33"/>
  <c r="AD33"/>
  <c r="V34"/>
  <c r="AW22"/>
  <c r="T3"/>
  <c r="AF3"/>
  <c r="T5"/>
  <c r="AB5"/>
  <c r="T6"/>
  <c r="T7"/>
  <c r="T8"/>
  <c r="AB8"/>
  <c r="T9"/>
  <c r="T10"/>
  <c r="AF10" s="1"/>
  <c r="T12"/>
  <c r="T13"/>
  <c r="AF13" s="1"/>
  <c r="T14"/>
  <c r="AF14" s="1"/>
  <c r="AS14" s="1"/>
  <c r="T15"/>
  <c r="T16"/>
  <c r="T17"/>
  <c r="T18"/>
  <c r="AF18" s="1"/>
  <c r="T19"/>
  <c r="T20"/>
  <c r="T21"/>
  <c r="AF21"/>
  <c r="T22"/>
  <c r="AF22"/>
  <c r="T23"/>
  <c r="T24"/>
  <c r="AF24" s="1"/>
  <c r="T25"/>
  <c r="AB25"/>
  <c r="T26"/>
  <c r="AF26"/>
  <c r="T27"/>
  <c r="T28"/>
  <c r="AF28" s="1"/>
  <c r="R3"/>
  <c r="R4"/>
  <c r="Z59" s="1"/>
  <c r="AB59" s="1"/>
  <c r="R5"/>
  <c r="R6"/>
  <c r="R7"/>
  <c r="R8"/>
  <c r="R9"/>
  <c r="R10"/>
  <c r="R11"/>
  <c r="R12"/>
  <c r="R13"/>
  <c r="R14"/>
  <c r="R15"/>
  <c r="R16"/>
  <c r="R17"/>
  <c r="R18"/>
  <c r="R19"/>
  <c r="R20"/>
  <c r="R21"/>
  <c r="R22"/>
  <c r="Z22" s="1"/>
  <c r="R23"/>
  <c r="Z23"/>
  <c r="R24"/>
  <c r="Z24"/>
  <c r="R25"/>
  <c r="R26"/>
  <c r="Z26" s="1"/>
  <c r="AS26" s="1"/>
  <c r="R27"/>
  <c r="Z27"/>
  <c r="R28"/>
  <c r="Z28"/>
  <c r="AS28" s="1"/>
  <c r="R29"/>
  <c r="R30"/>
  <c r="R31"/>
  <c r="Z31" s="1"/>
  <c r="R32"/>
  <c r="Z32" s="1"/>
  <c r="R33"/>
  <c r="Z33" s="1"/>
  <c r="R34"/>
  <c r="F7"/>
  <c r="AW7" s="1"/>
  <c r="F20"/>
  <c r="AW20" s="1"/>
  <c r="AI43" s="1"/>
  <c r="AK43" s="1"/>
  <c r="F12"/>
  <c r="AW12" s="1"/>
  <c r="F15"/>
  <c r="AW15" s="1"/>
  <c r="AF45" s="1"/>
  <c r="AG45" s="1"/>
  <c r="F5"/>
  <c r="M5" i="111" s="1"/>
  <c r="F8" i="112"/>
  <c r="AW8" s="1"/>
  <c r="Z48" s="1"/>
  <c r="AB48" s="1"/>
  <c r="F19"/>
  <c r="Q19" i="111" s="1"/>
  <c r="F13" i="112"/>
  <c r="AW13" s="1"/>
  <c r="AI49" s="1"/>
  <c r="AK49" s="1"/>
  <c r="F14"/>
  <c r="O14" i="111" s="1"/>
  <c r="F18" i="112"/>
  <c r="AW18" s="1"/>
  <c r="AI51" s="1"/>
  <c r="F3"/>
  <c r="Z55" s="1"/>
  <c r="AC55" s="1"/>
  <c r="AF55" s="1"/>
  <c r="AI55" s="1"/>
  <c r="F4"/>
  <c r="P4" i="111"/>
  <c r="F6" i="112"/>
  <c r="F9"/>
  <c r="F10"/>
  <c r="AW10"/>
  <c r="F11"/>
  <c r="Q11" i="111"/>
  <c r="F16" i="112"/>
  <c r="AW16"/>
  <c r="F17"/>
  <c r="AW4"/>
  <c r="AW9"/>
  <c r="L38" i="113"/>
  <c r="AB83" i="112"/>
  <c r="I38" i="113"/>
  <c r="AA83" i="112"/>
  <c r="Z83"/>
  <c r="C38" i="113"/>
  <c r="Y83" i="112"/>
  <c r="L21" i="113"/>
  <c r="AB82" i="112"/>
  <c r="I21" i="113"/>
  <c r="AA82" i="112"/>
  <c r="F21" i="113"/>
  <c r="C21"/>
  <c r="Y82" i="112"/>
  <c r="A34" i="107"/>
  <c r="A27"/>
  <c r="A20"/>
  <c r="A13"/>
  <c r="A33"/>
  <c r="A26"/>
  <c r="A19"/>
  <c r="A35"/>
  <c r="A32"/>
  <c r="A31"/>
  <c r="A30"/>
  <c r="A29"/>
  <c r="A28"/>
  <c r="A25"/>
  <c r="A24"/>
  <c r="A23"/>
  <c r="A22"/>
  <c r="A21"/>
  <c r="A18"/>
  <c r="A17"/>
  <c r="A16"/>
  <c r="A15"/>
  <c r="A14"/>
  <c r="A12"/>
  <c r="A11"/>
  <c r="A10"/>
  <c r="A9"/>
  <c r="A8"/>
  <c r="Z3" i="112"/>
  <c r="Z4"/>
  <c r="Z5"/>
  <c r="Z6"/>
  <c r="Z7"/>
  <c r="Z8"/>
  <c r="Z9"/>
  <c r="Z10"/>
  <c r="Z11"/>
  <c r="Z12"/>
  <c r="Z13"/>
  <c r="Z14"/>
  <c r="Z15"/>
  <c r="Z16"/>
  <c r="Z17"/>
  <c r="Z18"/>
  <c r="AS18" s="1"/>
  <c r="Z19"/>
  <c r="Z20"/>
  <c r="AF5"/>
  <c r="AF7"/>
  <c r="AF11"/>
  <c r="AF12"/>
  <c r="AF16"/>
  <c r="AF19"/>
  <c r="AF20"/>
  <c r="AH3"/>
  <c r="AH8"/>
  <c r="AH11"/>
  <c r="AH15"/>
  <c r="AH16"/>
  <c r="AH20"/>
  <c r="AI3" i="111"/>
  <c r="Z21" i="112"/>
  <c r="Z25"/>
  <c r="Z29"/>
  <c r="Z30"/>
  <c r="Z34"/>
  <c r="AF23"/>
  <c r="T29"/>
  <c r="AF29" s="1"/>
  <c r="T30"/>
  <c r="T31"/>
  <c r="AF31"/>
  <c r="T32"/>
  <c r="AF32"/>
  <c r="T33"/>
  <c r="AF33"/>
  <c r="T34"/>
  <c r="AF34"/>
  <c r="AH24"/>
  <c r="AH28"/>
  <c r="AH31"/>
  <c r="E21" i="111"/>
  <c r="E22"/>
  <c r="E23"/>
  <c r="E24"/>
  <c r="E25"/>
  <c r="E26"/>
  <c r="E27"/>
  <c r="E28"/>
  <c r="E29"/>
  <c r="E30"/>
  <c r="E31"/>
  <c r="E32"/>
  <c r="E33"/>
  <c r="E34"/>
  <c r="E3"/>
  <c r="E4"/>
  <c r="E5"/>
  <c r="E38"/>
  <c r="E6"/>
  <c r="E7"/>
  <c r="E8"/>
  <c r="E9"/>
  <c r="E10"/>
  <c r="E11"/>
  <c r="E12"/>
  <c r="E13"/>
  <c r="E14"/>
  <c r="E15"/>
  <c r="E16"/>
  <c r="E17"/>
  <c r="E18"/>
  <c r="E19"/>
  <c r="E20"/>
  <c r="AD6"/>
  <c r="AT6"/>
  <c r="AF7"/>
  <c r="AC7"/>
  <c r="AF6"/>
  <c r="AC6"/>
  <c r="AH6"/>
  <c r="AJ6"/>
  <c r="AL6"/>
  <c r="AM6"/>
  <c r="AH7"/>
  <c r="AJ7"/>
  <c r="AK7"/>
  <c r="AL7"/>
  <c r="AN7"/>
  <c r="AC28" i="114"/>
  <c r="B151" i="110"/>
  <c r="AA28" i="114"/>
  <c r="B3" i="110"/>
  <c r="B77"/>
  <c r="B114"/>
  <c r="Y53" i="112"/>
  <c r="X53"/>
  <c r="W53"/>
  <c r="V53"/>
  <c r="R53"/>
  <c r="AW6"/>
  <c r="AW17"/>
  <c r="Q21" i="111"/>
  <c r="Q22"/>
  <c r="Q26"/>
  <c r="Q29"/>
  <c r="Q30"/>
  <c r="Q31"/>
  <c r="Q32"/>
  <c r="Q33"/>
  <c r="Q34"/>
  <c r="P22"/>
  <c r="P23"/>
  <c r="P24"/>
  <c r="P26"/>
  <c r="P27"/>
  <c r="P31"/>
  <c r="P32"/>
  <c r="P33"/>
  <c r="Z4"/>
  <c r="O21"/>
  <c r="O22"/>
  <c r="O24"/>
  <c r="O25"/>
  <c r="O26"/>
  <c r="O28"/>
  <c r="O29"/>
  <c r="O31"/>
  <c r="O32"/>
  <c r="N21"/>
  <c r="N22"/>
  <c r="N23"/>
  <c r="N26"/>
  <c r="N30"/>
  <c r="N31"/>
  <c r="N32"/>
  <c r="N33"/>
  <c r="N34"/>
  <c r="M21"/>
  <c r="M22"/>
  <c r="M23"/>
  <c r="M24"/>
  <c r="M25"/>
  <c r="M27"/>
  <c r="M31"/>
  <c r="M32"/>
  <c r="M33"/>
  <c r="L21"/>
  <c r="L22"/>
  <c r="L25"/>
  <c r="L29"/>
  <c r="L30"/>
  <c r="L31"/>
  <c r="L32"/>
  <c r="L33"/>
  <c r="L34"/>
  <c r="Q5"/>
  <c r="Q6"/>
  <c r="Q8"/>
  <c r="Q9"/>
  <c r="Q13"/>
  <c r="Q15"/>
  <c r="Q16"/>
  <c r="Q17"/>
  <c r="Q18"/>
  <c r="Q20"/>
  <c r="Z3"/>
  <c r="P6"/>
  <c r="P7"/>
  <c r="P8"/>
  <c r="P9"/>
  <c r="P10"/>
  <c r="P11"/>
  <c r="P13"/>
  <c r="P14"/>
  <c r="P15"/>
  <c r="P16"/>
  <c r="P17"/>
  <c r="P18"/>
  <c r="P20"/>
  <c r="O4"/>
  <c r="O6"/>
  <c r="O8"/>
  <c r="O9"/>
  <c r="O12"/>
  <c r="O13"/>
  <c r="O15"/>
  <c r="O16"/>
  <c r="O17"/>
  <c r="O18"/>
  <c r="O20"/>
  <c r="N5"/>
  <c r="N6"/>
  <c r="N8"/>
  <c r="N9"/>
  <c r="N13"/>
  <c r="N15"/>
  <c r="N16"/>
  <c r="N17"/>
  <c r="N18"/>
  <c r="N20"/>
  <c r="M4"/>
  <c r="M6"/>
  <c r="M7"/>
  <c r="M8"/>
  <c r="M9"/>
  <c r="M11"/>
  <c r="M12"/>
  <c r="M13"/>
  <c r="M15"/>
  <c r="M16"/>
  <c r="M17"/>
  <c r="M18"/>
  <c r="M19"/>
  <c r="M20"/>
  <c r="L5"/>
  <c r="L6"/>
  <c r="L8"/>
  <c r="L9"/>
  <c r="L13"/>
  <c r="L15"/>
  <c r="L16"/>
  <c r="L17"/>
  <c r="L18"/>
  <c r="L20"/>
  <c r="E117" i="112"/>
  <c r="E118"/>
  <c r="I93"/>
  <c r="H93"/>
  <c r="G93"/>
  <c r="F93"/>
  <c r="E93"/>
  <c r="Y68"/>
  <c r="W64"/>
  <c r="U60"/>
  <c r="S71"/>
  <c r="S53"/>
  <c r="X68"/>
  <c r="V64"/>
  <c r="T60"/>
  <c r="R71"/>
  <c r="P3"/>
  <c r="P4"/>
  <c r="Q4"/>
  <c r="P5"/>
  <c r="Q5"/>
  <c r="P6"/>
  <c r="Q6"/>
  <c r="P7"/>
  <c r="P8"/>
  <c r="Q8"/>
  <c r="P9"/>
  <c r="Q9"/>
  <c r="P10"/>
  <c r="Q10"/>
  <c r="P11"/>
  <c r="Q11"/>
  <c r="P12"/>
  <c r="Q12"/>
  <c r="P13"/>
  <c r="Q13"/>
  <c r="P14"/>
  <c r="Q14"/>
  <c r="P15"/>
  <c r="P16"/>
  <c r="Q16"/>
  <c r="P17"/>
  <c r="Q17"/>
  <c r="P18"/>
  <c r="Q18"/>
  <c r="P19"/>
  <c r="Q19"/>
  <c r="P20"/>
  <c r="AJ3"/>
  <c r="AL3"/>
  <c r="AN3"/>
  <c r="AP3"/>
  <c r="AJ4"/>
  <c r="AL4"/>
  <c r="AN4"/>
  <c r="AP4"/>
  <c r="AR4"/>
  <c r="AJ5"/>
  <c r="AL5"/>
  <c r="AN5"/>
  <c r="AP5"/>
  <c r="AR5"/>
  <c r="AJ6"/>
  <c r="AL6"/>
  <c r="AN6"/>
  <c r="AP6"/>
  <c r="AJ7"/>
  <c r="AL7"/>
  <c r="AN7"/>
  <c r="AP7"/>
  <c r="AJ8"/>
  <c r="AL8"/>
  <c r="AN8"/>
  <c r="AP8"/>
  <c r="AR8"/>
  <c r="AJ9"/>
  <c r="AL9"/>
  <c r="AN9"/>
  <c r="AP9"/>
  <c r="AR9"/>
  <c r="AJ10"/>
  <c r="AL10"/>
  <c r="AN10"/>
  <c r="AP10"/>
  <c r="AR10"/>
  <c r="AJ11"/>
  <c r="AL11"/>
  <c r="AN11"/>
  <c r="AP11"/>
  <c r="AR11"/>
  <c r="AJ12"/>
  <c r="AL12"/>
  <c r="AN12"/>
  <c r="AP12"/>
  <c r="AR12"/>
  <c r="AJ13"/>
  <c r="AL13"/>
  <c r="AN13"/>
  <c r="AP13"/>
  <c r="AR13"/>
  <c r="AJ14"/>
  <c r="AL14"/>
  <c r="AN14"/>
  <c r="AP14"/>
  <c r="AR14"/>
  <c r="AJ15"/>
  <c r="AL15"/>
  <c r="AN15"/>
  <c r="AP15"/>
  <c r="AJ16"/>
  <c r="AL16"/>
  <c r="AN16"/>
  <c r="AP16"/>
  <c r="AR16"/>
  <c r="AJ17"/>
  <c r="AL17"/>
  <c r="AN17"/>
  <c r="AP17"/>
  <c r="AR17"/>
  <c r="AJ18"/>
  <c r="AL18"/>
  <c r="AN18"/>
  <c r="AP18"/>
  <c r="AR18"/>
  <c r="AJ19"/>
  <c r="AL19"/>
  <c r="AN19"/>
  <c r="AP19"/>
  <c r="AR19"/>
  <c r="AJ20"/>
  <c r="AL20"/>
  <c r="AN20"/>
  <c r="AP20"/>
  <c r="P21"/>
  <c r="Q21"/>
  <c r="P22"/>
  <c r="Q22"/>
  <c r="P23"/>
  <c r="Q23"/>
  <c r="P24"/>
  <c r="Q24"/>
  <c r="P25"/>
  <c r="Q25"/>
  <c r="P26"/>
  <c r="Q26"/>
  <c r="P27"/>
  <c r="BF7" i="111"/>
  <c r="P28" i="112"/>
  <c r="Q28"/>
  <c r="P29"/>
  <c r="Q29"/>
  <c r="P30"/>
  <c r="Q30"/>
  <c r="P31"/>
  <c r="Q31"/>
  <c r="P32"/>
  <c r="Q32"/>
  <c r="P33"/>
  <c r="Q33"/>
  <c r="P34"/>
  <c r="Q34"/>
  <c r="AJ21"/>
  <c r="AL21"/>
  <c r="AN21"/>
  <c r="AP21"/>
  <c r="AR21"/>
  <c r="AJ22"/>
  <c r="AL22"/>
  <c r="AN22"/>
  <c r="AP22"/>
  <c r="AR22"/>
  <c r="AJ23"/>
  <c r="AL23"/>
  <c r="AN23"/>
  <c r="AP23"/>
  <c r="AR23"/>
  <c r="AJ24"/>
  <c r="AL24"/>
  <c r="AN24"/>
  <c r="AP24"/>
  <c r="AR24"/>
  <c r="AJ25"/>
  <c r="AL25"/>
  <c r="AN25"/>
  <c r="AP25"/>
  <c r="AR25"/>
  <c r="AJ26"/>
  <c r="AL26"/>
  <c r="AN26"/>
  <c r="AP26"/>
  <c r="AR26"/>
  <c r="AJ27"/>
  <c r="AL27"/>
  <c r="AN27"/>
  <c r="AP27"/>
  <c r="AJ28"/>
  <c r="AL28"/>
  <c r="AN28"/>
  <c r="AP28"/>
  <c r="AR28"/>
  <c r="AJ29"/>
  <c r="AL29"/>
  <c r="AN29"/>
  <c r="AP29"/>
  <c r="AJ30"/>
  <c r="AL30"/>
  <c r="AN30"/>
  <c r="AP30"/>
  <c r="AR30"/>
  <c r="AJ31"/>
  <c r="AL31"/>
  <c r="AN31"/>
  <c r="AP31"/>
  <c r="AR31"/>
  <c r="AJ32"/>
  <c r="AL32"/>
  <c r="AN32"/>
  <c r="AP32"/>
  <c r="AR32"/>
  <c r="AJ33"/>
  <c r="AL33"/>
  <c r="AN33"/>
  <c r="AP33"/>
  <c r="AR33"/>
  <c r="AJ34"/>
  <c r="AL34"/>
  <c r="AN34"/>
  <c r="AP34"/>
  <c r="AR34"/>
  <c r="G3" i="111"/>
  <c r="G3" i="112"/>
  <c r="I3" i="111"/>
  <c r="J3"/>
  <c r="AB3"/>
  <c r="AC3"/>
  <c r="AF3"/>
  <c r="AQ3"/>
  <c r="K6"/>
  <c r="K7"/>
  <c r="K8"/>
  <c r="K9"/>
  <c r="K10"/>
  <c r="K11"/>
  <c r="K13"/>
  <c r="K14"/>
  <c r="K15"/>
  <c r="K16"/>
  <c r="K17"/>
  <c r="K18"/>
  <c r="K20"/>
  <c r="BG3"/>
  <c r="BN3"/>
  <c r="BO3"/>
  <c r="BP3"/>
  <c r="BQ3"/>
  <c r="BR3"/>
  <c r="BS3"/>
  <c r="G4"/>
  <c r="I4"/>
  <c r="J4"/>
  <c r="AC4"/>
  <c r="AE4"/>
  <c r="AF4"/>
  <c r="AO4"/>
  <c r="AQ4"/>
  <c r="K21"/>
  <c r="K22"/>
  <c r="K24"/>
  <c r="K25"/>
  <c r="K26"/>
  <c r="K28"/>
  <c r="K29"/>
  <c r="K31"/>
  <c r="K32"/>
  <c r="K33"/>
  <c r="BF4"/>
  <c r="BG4"/>
  <c r="BN4"/>
  <c r="BO4"/>
  <c r="BP4"/>
  <c r="BQ4"/>
  <c r="BR4"/>
  <c r="BS4"/>
  <c r="G5"/>
  <c r="G5" i="112"/>
  <c r="I5" i="111"/>
  <c r="G6"/>
  <c r="I6"/>
  <c r="J6"/>
  <c r="Z6"/>
  <c r="AB6"/>
  <c r="AO6"/>
  <c r="AQ6"/>
  <c r="AS6"/>
  <c r="BF6"/>
  <c r="BG6"/>
  <c r="BN6"/>
  <c r="BO6"/>
  <c r="BP6"/>
  <c r="BQ6"/>
  <c r="BR6"/>
  <c r="BS6"/>
  <c r="G7"/>
  <c r="I7"/>
  <c r="J7"/>
  <c r="Z7"/>
  <c r="AQ7"/>
  <c r="BG7"/>
  <c r="BN7"/>
  <c r="BO7"/>
  <c r="BP7"/>
  <c r="BQ7"/>
  <c r="BR7"/>
  <c r="BS7"/>
  <c r="G8"/>
  <c r="I8"/>
  <c r="J8"/>
  <c r="G9"/>
  <c r="G9" i="112"/>
  <c r="I9" i="111"/>
  <c r="J9"/>
  <c r="G10"/>
  <c r="I10"/>
  <c r="G11"/>
  <c r="I11"/>
  <c r="G12"/>
  <c r="I12"/>
  <c r="J12"/>
  <c r="G13"/>
  <c r="G13" i="112"/>
  <c r="I13" i="111"/>
  <c r="J13"/>
  <c r="G14"/>
  <c r="G14" i="112"/>
  <c r="I14" i="111"/>
  <c r="G15"/>
  <c r="I15"/>
  <c r="J15"/>
  <c r="G16"/>
  <c r="I16"/>
  <c r="J16"/>
  <c r="G17"/>
  <c r="G17" i="112"/>
  <c r="I17" i="111"/>
  <c r="J17"/>
  <c r="G18"/>
  <c r="G18" i="112"/>
  <c r="I18" i="111"/>
  <c r="J18"/>
  <c r="G19"/>
  <c r="I19"/>
  <c r="G20"/>
  <c r="I20"/>
  <c r="J20"/>
  <c r="G21"/>
  <c r="I21"/>
  <c r="J21"/>
  <c r="G22"/>
  <c r="G22" i="112"/>
  <c r="I22" i="111"/>
  <c r="J22"/>
  <c r="G23"/>
  <c r="G23" i="112"/>
  <c r="I23" i="111"/>
  <c r="G24"/>
  <c r="I24"/>
  <c r="J24"/>
  <c r="G25"/>
  <c r="I25"/>
  <c r="J25"/>
  <c r="G26"/>
  <c r="G26" i="112"/>
  <c r="I26" i="111"/>
  <c r="J26"/>
  <c r="G27"/>
  <c r="G27" i="112"/>
  <c r="I27" i="111"/>
  <c r="G28"/>
  <c r="I28"/>
  <c r="G29"/>
  <c r="I29"/>
  <c r="J29"/>
  <c r="G30"/>
  <c r="G30" i="112"/>
  <c r="I30" i="111"/>
  <c r="G31"/>
  <c r="G31" i="112"/>
  <c r="I31" i="111"/>
  <c r="J31"/>
  <c r="G32"/>
  <c r="I32"/>
  <c r="J32"/>
  <c r="G33"/>
  <c r="I33"/>
  <c r="J33"/>
  <c r="G34"/>
  <c r="G34" i="112"/>
  <c r="I34" i="111"/>
  <c r="B36"/>
  <c r="D36"/>
  <c r="G36"/>
  <c r="F36"/>
  <c r="I36"/>
  <c r="B37"/>
  <c r="I37"/>
  <c r="D37"/>
  <c r="E37"/>
  <c r="F37"/>
  <c r="G37"/>
  <c r="B38"/>
  <c r="D38"/>
  <c r="G38"/>
  <c r="F38"/>
  <c r="I38"/>
  <c r="E3" i="112"/>
  <c r="S3"/>
  <c r="U3"/>
  <c r="AC3" s="1"/>
  <c r="W3"/>
  <c r="AE3" s="1"/>
  <c r="Y3"/>
  <c r="AI3" s="1"/>
  <c r="AA3"/>
  <c r="AD3"/>
  <c r="E4"/>
  <c r="G4"/>
  <c r="S4"/>
  <c r="AA4"/>
  <c r="W4"/>
  <c r="AE4"/>
  <c r="Y4"/>
  <c r="AI4"/>
  <c r="AB4"/>
  <c r="AC4"/>
  <c r="AD4"/>
  <c r="E5"/>
  <c r="S5"/>
  <c r="AA5" s="1"/>
  <c r="U5"/>
  <c r="W5"/>
  <c r="Y5"/>
  <c r="AI5"/>
  <c r="AE5"/>
  <c r="E6"/>
  <c r="G6"/>
  <c r="S6"/>
  <c r="AA6" s="1"/>
  <c r="U6"/>
  <c r="W6"/>
  <c r="AE6"/>
  <c r="Y6"/>
  <c r="AI6"/>
  <c r="AB6"/>
  <c r="E7"/>
  <c r="G7"/>
  <c r="S7"/>
  <c r="U7"/>
  <c r="AG7" s="1"/>
  <c r="W7"/>
  <c r="Y7"/>
  <c r="AI7" s="1"/>
  <c r="AA7"/>
  <c r="AB7"/>
  <c r="AC7"/>
  <c r="AD7"/>
  <c r="E8"/>
  <c r="G8"/>
  <c r="S8"/>
  <c r="AA8" s="1"/>
  <c r="U8"/>
  <c r="AC8"/>
  <c r="W8"/>
  <c r="AG8" s="1"/>
  <c r="AE8"/>
  <c r="Y8"/>
  <c r="AI8"/>
  <c r="AD8"/>
  <c r="E9"/>
  <c r="S9"/>
  <c r="U9"/>
  <c r="AC9" s="1"/>
  <c r="W9"/>
  <c r="AE9" s="1"/>
  <c r="Y9"/>
  <c r="AI9" s="1"/>
  <c r="AA9"/>
  <c r="AB9"/>
  <c r="E10"/>
  <c r="G10"/>
  <c r="S10"/>
  <c r="U10"/>
  <c r="AG10" s="1"/>
  <c r="W10"/>
  <c r="Y10"/>
  <c r="AI10" s="1"/>
  <c r="AA10"/>
  <c r="AB10"/>
  <c r="AC10"/>
  <c r="AD10"/>
  <c r="E11"/>
  <c r="E38" s="1"/>
  <c r="G11"/>
  <c r="S11"/>
  <c r="W11"/>
  <c r="AG11" s="1"/>
  <c r="Y11"/>
  <c r="AI11" s="1"/>
  <c r="AA11"/>
  <c r="AB11"/>
  <c r="AC11"/>
  <c r="AD11"/>
  <c r="E12"/>
  <c r="G12"/>
  <c r="S12"/>
  <c r="AA12" s="1"/>
  <c r="U12"/>
  <c r="W12"/>
  <c r="Y12"/>
  <c r="AI12"/>
  <c r="AB12"/>
  <c r="AD12"/>
  <c r="E13"/>
  <c r="S13"/>
  <c r="U13"/>
  <c r="W13"/>
  <c r="AE13" s="1"/>
  <c r="Y13"/>
  <c r="AI13" s="1"/>
  <c r="AA13"/>
  <c r="E14"/>
  <c r="S14"/>
  <c r="U14"/>
  <c r="W14"/>
  <c r="AE14" s="1"/>
  <c r="Y14"/>
  <c r="AI14" s="1"/>
  <c r="AA14"/>
  <c r="AB14"/>
  <c r="AD14"/>
  <c r="E15"/>
  <c r="G15"/>
  <c r="S15"/>
  <c r="AA15" s="1"/>
  <c r="U15"/>
  <c r="W15"/>
  <c r="Y15"/>
  <c r="AI15"/>
  <c r="AB15"/>
  <c r="AD15"/>
  <c r="E16"/>
  <c r="G16"/>
  <c r="S16"/>
  <c r="AA16" s="1"/>
  <c r="U16"/>
  <c r="W16"/>
  <c r="AE16" s="1"/>
  <c r="Y16"/>
  <c r="AI16"/>
  <c r="AB16"/>
  <c r="AD16"/>
  <c r="E17"/>
  <c r="S17"/>
  <c r="U17"/>
  <c r="AC17" s="1"/>
  <c r="W17"/>
  <c r="AE17" s="1"/>
  <c r="Y17"/>
  <c r="AI17" s="1"/>
  <c r="AA17"/>
  <c r="AB17"/>
  <c r="E18"/>
  <c r="S18"/>
  <c r="AA18"/>
  <c r="U18"/>
  <c r="AC18"/>
  <c r="W18"/>
  <c r="Y18"/>
  <c r="AI18" s="1"/>
  <c r="AB18"/>
  <c r="AD18"/>
  <c r="AE18"/>
  <c r="E19"/>
  <c r="G19"/>
  <c r="S19"/>
  <c r="AA19" s="1"/>
  <c r="U19"/>
  <c r="W19"/>
  <c r="Y19"/>
  <c r="AI19"/>
  <c r="AB19"/>
  <c r="AD19"/>
  <c r="E20"/>
  <c r="G20"/>
  <c r="S20"/>
  <c r="AA20" s="1"/>
  <c r="U20"/>
  <c r="W20"/>
  <c r="Y20"/>
  <c r="AI20"/>
  <c r="AB20"/>
  <c r="AD20"/>
  <c r="E21"/>
  <c r="G21"/>
  <c r="S21"/>
  <c r="U21"/>
  <c r="AC21"/>
  <c r="W21"/>
  <c r="Y21"/>
  <c r="AI21" s="1"/>
  <c r="AA21"/>
  <c r="AE21"/>
  <c r="E22"/>
  <c r="S22"/>
  <c r="U22"/>
  <c r="W22"/>
  <c r="Y22"/>
  <c r="AI22" s="1"/>
  <c r="AA22"/>
  <c r="AD22"/>
  <c r="E23"/>
  <c r="S23"/>
  <c r="U23"/>
  <c r="AC23"/>
  <c r="W23"/>
  <c r="AE23"/>
  <c r="Y23"/>
  <c r="AA23"/>
  <c r="AB23"/>
  <c r="AD23"/>
  <c r="AI23"/>
  <c r="E24"/>
  <c r="G24"/>
  <c r="S24"/>
  <c r="AA24" s="1"/>
  <c r="U24"/>
  <c r="AC24"/>
  <c r="W24"/>
  <c r="AE24"/>
  <c r="Y24"/>
  <c r="AI24"/>
  <c r="AB24"/>
  <c r="AD24"/>
  <c r="E25"/>
  <c r="G25"/>
  <c r="S25"/>
  <c r="U25"/>
  <c r="W25"/>
  <c r="AG25" s="1"/>
  <c r="Y25"/>
  <c r="AI25" s="1"/>
  <c r="AA25"/>
  <c r="AC25"/>
  <c r="E26"/>
  <c r="S26"/>
  <c r="U26"/>
  <c r="W26"/>
  <c r="Y26"/>
  <c r="AA26"/>
  <c r="AB26"/>
  <c r="AI26"/>
  <c r="E27"/>
  <c r="S27"/>
  <c r="AA27" s="1"/>
  <c r="U27"/>
  <c r="AC27"/>
  <c r="W27"/>
  <c r="AE27"/>
  <c r="Y27"/>
  <c r="AB27"/>
  <c r="AD27"/>
  <c r="AI27"/>
  <c r="E28"/>
  <c r="G28"/>
  <c r="S28"/>
  <c r="AA28" s="1"/>
  <c r="U28"/>
  <c r="AC28"/>
  <c r="W28"/>
  <c r="AE28"/>
  <c r="Y28"/>
  <c r="AI28"/>
  <c r="AB28"/>
  <c r="AD28"/>
  <c r="AG28"/>
  <c r="E29"/>
  <c r="G29"/>
  <c r="S29"/>
  <c r="AA29" s="1"/>
  <c r="U29"/>
  <c r="W29"/>
  <c r="Y29"/>
  <c r="AI29"/>
  <c r="AB29"/>
  <c r="E30"/>
  <c r="S30"/>
  <c r="U30"/>
  <c r="AC30"/>
  <c r="W30"/>
  <c r="AG30" s="1"/>
  <c r="Y30"/>
  <c r="AI30" s="1"/>
  <c r="AA30"/>
  <c r="AB30"/>
  <c r="AD30"/>
  <c r="E31"/>
  <c r="S31"/>
  <c r="AA31" s="1"/>
  <c r="U31"/>
  <c r="AG31" s="1"/>
  <c r="AC31"/>
  <c r="W31"/>
  <c r="AE31"/>
  <c r="Y31"/>
  <c r="AI31"/>
  <c r="AB31"/>
  <c r="AD31"/>
  <c r="E32"/>
  <c r="G32"/>
  <c r="S32"/>
  <c r="AA32" s="1"/>
  <c r="U32"/>
  <c r="W32"/>
  <c r="Y32"/>
  <c r="AI32" s="1"/>
  <c r="AB32"/>
  <c r="AD32"/>
  <c r="AE32"/>
  <c r="E33"/>
  <c r="G33"/>
  <c r="S33"/>
  <c r="AA33" s="1"/>
  <c r="U33"/>
  <c r="AC33" s="1"/>
  <c r="W33"/>
  <c r="AE33" s="1"/>
  <c r="Y33"/>
  <c r="AI33"/>
  <c r="AB33"/>
  <c r="E34"/>
  <c r="S34"/>
  <c r="U34"/>
  <c r="W34"/>
  <c r="Y34"/>
  <c r="AI34" s="1"/>
  <c r="AA34"/>
  <c r="AD34"/>
  <c r="C35"/>
  <c r="I35"/>
  <c r="J35"/>
  <c r="K35"/>
  <c r="L35"/>
  <c r="M35"/>
  <c r="N35"/>
  <c r="O35"/>
  <c r="AB24" i="114"/>
  <c r="AB25"/>
  <c r="AB26"/>
  <c r="AB27"/>
  <c r="B3" i="116"/>
  <c r="C3"/>
  <c r="B4"/>
  <c r="C4"/>
  <c r="AD27" i="114"/>
  <c r="C114" i="110" s="1"/>
  <c r="B135" s="1"/>
  <c r="K34" i="114"/>
  <c r="Q34"/>
  <c r="AE26"/>
  <c r="D77" i="110" s="1"/>
  <c r="C5"/>
  <c r="B22" s="1"/>
  <c r="F22" s="1"/>
  <c r="S98"/>
  <c r="AD98"/>
  <c r="W98"/>
  <c r="P98"/>
  <c r="AA98"/>
  <c r="O98"/>
  <c r="Z98"/>
  <c r="R98"/>
  <c r="AS34" i="112"/>
  <c r="AB21"/>
  <c r="J28" i="111"/>
  <c r="J5"/>
  <c r="K19"/>
  <c r="AF25" i="112"/>
  <c r="AS25" s="1"/>
  <c r="AW5"/>
  <c r="AB34"/>
  <c r="AE29"/>
  <c r="AG24"/>
  <c r="AG23"/>
  <c r="AB22"/>
  <c r="AG18"/>
  <c r="AD5"/>
  <c r="J34" i="111"/>
  <c r="J30"/>
  <c r="J14"/>
  <c r="J10"/>
  <c r="K27"/>
  <c r="K23"/>
  <c r="K5"/>
  <c r="B83" i="110"/>
  <c r="F83" s="1"/>
  <c r="L12" i="111"/>
  <c r="L4"/>
  <c r="M14"/>
  <c r="M10"/>
  <c r="N12"/>
  <c r="N4"/>
  <c r="O19"/>
  <c r="O11"/>
  <c r="O7"/>
  <c r="O3"/>
  <c r="P5"/>
  <c r="Q12"/>
  <c r="Q4"/>
  <c r="L28"/>
  <c r="L24"/>
  <c r="M34"/>
  <c r="M30"/>
  <c r="N29"/>
  <c r="O27"/>
  <c r="O23"/>
  <c r="P34"/>
  <c r="P30"/>
  <c r="Q28"/>
  <c r="Q24"/>
  <c r="AF30" i="112"/>
  <c r="AS30" s="1"/>
  <c r="AF8"/>
  <c r="AS8" s="1"/>
  <c r="AW11"/>
  <c r="Z42"/>
  <c r="AS32"/>
  <c r="F35"/>
  <c r="K3" i="111"/>
  <c r="L14"/>
  <c r="L10"/>
  <c r="N14"/>
  <c r="N10"/>
  <c r="O5"/>
  <c r="P19"/>
  <c r="P3"/>
  <c r="Q14"/>
  <c r="Q10"/>
  <c r="M28"/>
  <c r="N27"/>
  <c r="P28"/>
  <c r="AW14" i="112"/>
  <c r="AI50"/>
  <c r="AJ50" s="1"/>
  <c r="AW19"/>
  <c r="AI48"/>
  <c r="AJ48" s="1"/>
  <c r="AG33"/>
  <c r="AE25"/>
  <c r="AG21"/>
  <c r="AE19"/>
  <c r="AE15"/>
  <c r="AE10"/>
  <c r="AG4"/>
  <c r="AB3"/>
  <c r="J27" i="111"/>
  <c r="J23"/>
  <c r="J19"/>
  <c r="J11"/>
  <c r="K34"/>
  <c r="K30"/>
  <c r="K12"/>
  <c r="K4"/>
  <c r="AR6"/>
  <c r="L19"/>
  <c r="L11"/>
  <c r="L7"/>
  <c r="BH6" s="1"/>
  <c r="L3"/>
  <c r="N19"/>
  <c r="N11"/>
  <c r="N7"/>
  <c r="N3"/>
  <c r="O10"/>
  <c r="P12"/>
  <c r="Q7"/>
  <c r="Q3"/>
  <c r="L27"/>
  <c r="L23"/>
  <c r="M29"/>
  <c r="N28"/>
  <c r="N24"/>
  <c r="O34"/>
  <c r="O30"/>
  <c r="P29"/>
  <c r="Q27"/>
  <c r="AH5" i="112"/>
  <c r="AE30"/>
  <c r="AE22"/>
  <c r="AG17"/>
  <c r="AE34"/>
  <c r="AE26"/>
  <c r="AE7"/>
  <c r="AE20"/>
  <c r="AE12"/>
  <c r="AG27"/>
  <c r="AZ3" i="111"/>
  <c r="BB3"/>
  <c r="AH3"/>
  <c r="AJ3"/>
  <c r="AL3"/>
  <c r="AN3"/>
  <c r="BA3"/>
  <c r="AM3"/>
  <c r="BC3"/>
  <c r="AK3"/>
  <c r="AW3"/>
  <c r="Q20" i="112"/>
  <c r="AR20"/>
  <c r="AY4" i="111"/>
  <c r="BA4"/>
  <c r="BC4"/>
  <c r="AI4"/>
  <c r="AK4"/>
  <c r="AM4"/>
  <c r="AZ4"/>
  <c r="AL4"/>
  <c r="BB4"/>
  <c r="AN4"/>
  <c r="AJ4"/>
  <c r="AH4"/>
  <c r="AO7"/>
  <c r="AS31" i="112"/>
  <c r="AS11"/>
  <c r="BF3" i="111"/>
  <c r="AE3"/>
  <c r="AR29" i="112"/>
  <c r="AS29"/>
  <c r="AS16"/>
  <c r="AZ7" i="111"/>
  <c r="Q27" i="112"/>
  <c r="AA7" i="111"/>
  <c r="AR27" i="112"/>
  <c r="BD7" i="111"/>
  <c r="AR3" i="112"/>
  <c r="Q3"/>
  <c r="AD3" i="111"/>
  <c r="P35" i="112"/>
  <c r="E36" i="111"/>
  <c r="AO3"/>
  <c r="BC7"/>
  <c r="BA6"/>
  <c r="AS23" i="112"/>
  <c r="AS20"/>
  <c r="AR6"/>
  <c r="BB6" i="111"/>
  <c r="Q15" i="112"/>
  <c r="AR15"/>
  <c r="M98" i="110"/>
  <c r="U98"/>
  <c r="AC98"/>
  <c r="Q7" i="112"/>
  <c r="AR7"/>
  <c r="AW6" i="111"/>
  <c r="AS19" i="112"/>
  <c r="AS13"/>
  <c r="AY7" i="111"/>
  <c r="AD7"/>
  <c r="AD4"/>
  <c r="BB7"/>
  <c r="E119" i="112"/>
  <c r="AB28" i="114"/>
  <c r="AE6" i="111"/>
  <c r="BC6"/>
  <c r="AK6"/>
  <c r="Z64" i="112"/>
  <c r="AB64" s="1"/>
  <c r="AE7" i="111"/>
  <c r="BA7"/>
  <c r="AI7"/>
  <c r="AM7"/>
  <c r="AC59" i="112"/>
  <c r="AE59" s="1"/>
  <c r="AJ65"/>
  <c r="AN6" i="111"/>
  <c r="AI6"/>
  <c r="AZ6"/>
  <c r="AA59" i="112"/>
  <c r="AA48"/>
  <c r="AF60"/>
  <c r="AG60" s="1"/>
  <c r="AW23"/>
  <c r="AF63" s="1"/>
  <c r="AH63" s="1"/>
  <c r="Z73"/>
  <c r="AC73" s="1"/>
  <c r="AF73"/>
  <c r="AI73" s="1"/>
  <c r="Z43"/>
  <c r="AI45"/>
  <c r="AJ45" s="1"/>
  <c r="Z46"/>
  <c r="Z58"/>
  <c r="AB58" s="1"/>
  <c r="Z66"/>
  <c r="AB66" s="1"/>
  <c r="AF61"/>
  <c r="AF43"/>
  <c r="AG43" s="1"/>
  <c r="AF47"/>
  <c r="AF58"/>
  <c r="Z45"/>
  <c r="AI47"/>
  <c r="AJ47" s="1"/>
  <c r="AI67"/>
  <c r="AJ67" s="1"/>
  <c r="AI59"/>
  <c r="AK59" s="1"/>
  <c r="AI42"/>
  <c r="Z60"/>
  <c r="Z63"/>
  <c r="Z67"/>
  <c r="AA67" s="1"/>
  <c r="Z47"/>
  <c r="AA47" s="1"/>
  <c r="AF42"/>
  <c r="AF48"/>
  <c r="AI66"/>
  <c r="AK66" s="1"/>
  <c r="F135" i="110"/>
  <c r="AB135" s="1"/>
  <c r="Z135"/>
  <c r="O135"/>
  <c r="Q135"/>
  <c r="AS5" i="112"/>
  <c r="BK6" i="111"/>
  <c r="AG63" i="112"/>
  <c r="AG7" i="111"/>
  <c r="AG16"/>
  <c r="AP7"/>
  <c r="AB63" i="112"/>
  <c r="AA63"/>
  <c r="AH43"/>
  <c r="AJ62"/>
  <c r="AK61"/>
  <c r="AH47"/>
  <c r="AG47"/>
  <c r="AK45"/>
  <c r="AT7" i="111"/>
  <c r="AS7"/>
  <c r="AA3"/>
  <c r="AA6"/>
  <c r="Q35" i="112"/>
  <c r="AH45"/>
  <c r="AK50"/>
  <c r="AK47"/>
  <c r="AG58"/>
  <c r="AA66"/>
  <c r="AT4" i="111"/>
  <c r="AS4"/>
  <c r="AA4"/>
  <c r="BD4"/>
  <c r="AH60" i="112"/>
  <c r="BD6" i="111"/>
  <c r="AR35" i="112"/>
  <c r="BD3" i="111"/>
  <c r="AJ43" i="112"/>
  <c r="AG42"/>
  <c r="AH42"/>
  <c r="AB67"/>
  <c r="AD59"/>
  <c r="AT3" i="111"/>
  <c r="AS3"/>
  <c r="AH48" i="112"/>
  <c r="AG48"/>
  <c r="AB47"/>
  <c r="AA60"/>
  <c r="AB60"/>
  <c r="AA65"/>
  <c r="AB65"/>
  <c r="AJ49"/>
  <c r="AJ51"/>
  <c r="AK51"/>
  <c r="AH61"/>
  <c r="AG61"/>
  <c r="AA46"/>
  <c r="AB46"/>
  <c r="AS3"/>
  <c r="L135" i="110"/>
  <c r="AF135"/>
  <c r="AE135"/>
  <c r="AG6" i="111"/>
  <c r="AG4"/>
  <c r="AG11"/>
  <c r="AP4"/>
  <c r="AG10"/>
  <c r="AG3"/>
  <c r="AP3"/>
  <c r="AG12"/>
  <c r="AC15" i="112" l="1"/>
  <c r="AG15"/>
  <c r="AF46"/>
  <c r="AI44"/>
  <c r="AW4" i="111"/>
  <c r="AS33" i="112"/>
  <c r="AS4"/>
  <c r="AC58"/>
  <c r="AI63"/>
  <c r="Z68"/>
  <c r="AI60"/>
  <c r="AY6" i="111"/>
  <c r="AY3"/>
  <c r="B9" i="110"/>
  <c r="B24"/>
  <c r="B61"/>
  <c r="F61" s="1"/>
  <c r="B46"/>
  <c r="F46" s="1"/>
  <c r="AG83"/>
  <c r="N83"/>
  <c r="Q83"/>
  <c r="AD83"/>
  <c r="Z83"/>
  <c r="R83"/>
  <c r="AB83"/>
  <c r="P83"/>
  <c r="Y83"/>
  <c r="S83"/>
  <c r="AA83"/>
  <c r="AF83"/>
  <c r="U83"/>
  <c r="O83"/>
  <c r="AC83"/>
  <c r="X83"/>
  <c r="V83"/>
  <c r="L83"/>
  <c r="K83"/>
  <c r="M83"/>
  <c r="AE83"/>
  <c r="W83"/>
  <c r="T83"/>
  <c r="AI54" i="112"/>
  <c r="AJ54" s="1"/>
  <c r="U82" s="1"/>
  <c r="AJ42"/>
  <c r="AK42"/>
  <c r="AA45"/>
  <c r="AB45"/>
  <c r="AC29"/>
  <c r="AG29"/>
  <c r="AR4" i="111"/>
  <c r="AG15"/>
  <c r="AG17" s="1"/>
  <c r="AP6"/>
  <c r="N135" i="110"/>
  <c r="W135"/>
  <c r="AG135"/>
  <c r="K135"/>
  <c r="R135"/>
  <c r="V135"/>
  <c r="X135"/>
  <c r="M135"/>
  <c r="AA135"/>
  <c r="T135"/>
  <c r="U135"/>
  <c r="AD135"/>
  <c r="S135"/>
  <c r="Y135"/>
  <c r="AC135"/>
  <c r="P135"/>
  <c r="AA58" i="112"/>
  <c r="Z71"/>
  <c r="Z72"/>
  <c r="AA72" s="1"/>
  <c r="R83" s="1"/>
  <c r="AC26"/>
  <c r="AG26"/>
  <c r="AG6"/>
  <c r="AC6"/>
  <c r="AG5"/>
  <c r="AC5"/>
  <c r="AA64"/>
  <c r="AE28" i="114"/>
  <c r="E35" i="112"/>
  <c r="AR7" i="111"/>
  <c r="AA43" i="112"/>
  <c r="AB43"/>
  <c r="AC19"/>
  <c r="AG19"/>
  <c r="BK3" i="111"/>
  <c r="BL6"/>
  <c r="AF71" i="112"/>
  <c r="AH58"/>
  <c r="BM3" i="111"/>
  <c r="BM6"/>
  <c r="BJ3"/>
  <c r="BJ6"/>
  <c r="AC13" i="112"/>
  <c r="AG13"/>
  <c r="AG12"/>
  <c r="AC12"/>
  <c r="AW7" i="111"/>
  <c r="AS22" i="112"/>
  <c r="AI64"/>
  <c r="Z61"/>
  <c r="X98" i="110"/>
  <c r="K98"/>
  <c r="AF98"/>
  <c r="AE98"/>
  <c r="Y98"/>
  <c r="AG98"/>
  <c r="N98"/>
  <c r="L98"/>
  <c r="V98"/>
  <c r="T98"/>
  <c r="AB98"/>
  <c r="Q98"/>
  <c r="AK67" i="112"/>
  <c r="AJ59"/>
  <c r="AJ66"/>
  <c r="BH3" i="111"/>
  <c r="BL3"/>
  <c r="AE11" i="112"/>
  <c r="AC20"/>
  <c r="AG20"/>
  <c r="AC16"/>
  <c r="AG16"/>
  <c r="Z69"/>
  <c r="AI58"/>
  <c r="AK48"/>
  <c r="AR3" i="111"/>
  <c r="AG9" i="112"/>
  <c r="B120" i="110"/>
  <c r="F120" s="1"/>
  <c r="AG3" i="112"/>
  <c r="AA42"/>
  <c r="Z53"/>
  <c r="AB42"/>
  <c r="Z54"/>
  <c r="AA54" s="1"/>
  <c r="R82" s="1"/>
  <c r="AF44"/>
  <c r="AI46"/>
  <c r="Z44"/>
  <c r="AC34"/>
  <c r="AG34"/>
  <c r="AG32"/>
  <c r="AC32"/>
  <c r="AG22"/>
  <c r="AC22"/>
  <c r="AG14"/>
  <c r="AC14"/>
  <c r="AX4" i="111"/>
  <c r="AX7"/>
  <c r="AS24" i="112"/>
  <c r="AF62"/>
  <c r="Z62"/>
  <c r="BM7" i="111"/>
  <c r="AS10" i="112"/>
  <c r="M3" i="111"/>
  <c r="L26"/>
  <c r="BH4" s="1"/>
  <c r="M26"/>
  <c r="BI4" s="1"/>
  <c r="N25"/>
  <c r="BJ7" s="1"/>
  <c r="O33"/>
  <c r="BK7" s="1"/>
  <c r="P25"/>
  <c r="P21"/>
  <c r="Q25"/>
  <c r="BM4" s="1"/>
  <c r="AF59" i="112"/>
  <c r="AF6"/>
  <c r="AS6" s="1"/>
  <c r="AB13"/>
  <c r="AD17"/>
  <c r="AF9"/>
  <c r="AS9" s="1"/>
  <c r="AW3"/>
  <c r="AC42" s="1"/>
  <c r="B44" i="110"/>
  <c r="F44" s="1"/>
  <c r="C116"/>
  <c r="B134" s="1"/>
  <c r="D24" i="115"/>
  <c r="C115" i="110" s="1"/>
  <c r="C42"/>
  <c r="B59" s="1"/>
  <c r="F59" s="1"/>
  <c r="T59" s="1"/>
  <c r="C4"/>
  <c r="B7" s="1"/>
  <c r="F7" s="1"/>
  <c r="B97"/>
  <c r="B96"/>
  <c r="F96" s="1"/>
  <c r="B81"/>
  <c r="F81" s="1"/>
  <c r="B82"/>
  <c r="B23"/>
  <c r="W22"/>
  <c r="AB22"/>
  <c r="P22"/>
  <c r="Y22"/>
  <c r="Z22"/>
  <c r="U22"/>
  <c r="R22"/>
  <c r="T22"/>
  <c r="AF22"/>
  <c r="O22"/>
  <c r="Q22"/>
  <c r="M22"/>
  <c r="K22"/>
  <c r="V22"/>
  <c r="AG22"/>
  <c r="S22"/>
  <c r="AA22"/>
  <c r="X22"/>
  <c r="AC22"/>
  <c r="AE22"/>
  <c r="AD22"/>
  <c r="N22"/>
  <c r="L22"/>
  <c r="AC54" i="112" l="1"/>
  <c r="AD54" s="1"/>
  <c r="S82" s="1"/>
  <c r="AE42"/>
  <c r="AD42"/>
  <c r="AG44"/>
  <c r="AH44"/>
  <c r="AH53" s="1"/>
  <c r="E9" i="107" s="1"/>
  <c r="AF54" i="112"/>
  <c r="AG54" s="1"/>
  <c r="T82" s="1"/>
  <c r="AI71"/>
  <c r="AI72"/>
  <c r="AJ72" s="1"/>
  <c r="U83" s="1"/>
  <c r="AK58"/>
  <c r="AJ58"/>
  <c r="B63" i="110"/>
  <c r="B101"/>
  <c r="B139"/>
  <c r="B179"/>
  <c r="G179" s="1"/>
  <c r="B27"/>
  <c r="B66"/>
  <c r="G66" s="1"/>
  <c r="B106"/>
  <c r="G106" s="1"/>
  <c r="F174"/>
  <c r="B26"/>
  <c r="F101"/>
  <c r="B138"/>
  <c r="B28"/>
  <c r="B142"/>
  <c r="B102"/>
  <c r="G102" s="1"/>
  <c r="F143"/>
  <c r="B31"/>
  <c r="F177"/>
  <c r="B174"/>
  <c r="G174" s="1"/>
  <c r="F104"/>
  <c r="B143"/>
  <c r="F27"/>
  <c r="F68"/>
  <c r="F141"/>
  <c r="F26"/>
  <c r="B65"/>
  <c r="F175"/>
  <c r="B103"/>
  <c r="G103" s="1"/>
  <c r="F69"/>
  <c r="B180"/>
  <c r="B69"/>
  <c r="G69" s="1"/>
  <c r="B68"/>
  <c r="F100"/>
  <c r="F142"/>
  <c r="B175"/>
  <c r="G175" s="1"/>
  <c r="F63"/>
  <c r="B176"/>
  <c r="F67"/>
  <c r="F140"/>
  <c r="B64"/>
  <c r="G64" s="1"/>
  <c r="F29"/>
  <c r="B141"/>
  <c r="F178"/>
  <c r="B137"/>
  <c r="G137" s="1"/>
  <c r="F32"/>
  <c r="F66"/>
  <c r="F180"/>
  <c r="F102"/>
  <c r="F28"/>
  <c r="B177"/>
  <c r="G177" s="1"/>
  <c r="F105"/>
  <c r="F138"/>
  <c r="B32"/>
  <c r="G32" s="1"/>
  <c r="F179"/>
  <c r="B104"/>
  <c r="G104" s="1"/>
  <c r="B178"/>
  <c r="F64"/>
  <c r="F103"/>
  <c r="B105"/>
  <c r="G105" s="1"/>
  <c r="F31"/>
  <c r="B140"/>
  <c r="F106"/>
  <c r="F139"/>
  <c r="B30"/>
  <c r="G30" s="1"/>
  <c r="F24"/>
  <c r="B25"/>
  <c r="B29"/>
  <c r="G29" s="1"/>
  <c r="B136"/>
  <c r="B100"/>
  <c r="G100" s="1"/>
  <c r="F65"/>
  <c r="B99"/>
  <c r="F176"/>
  <c r="F137"/>
  <c r="B173"/>
  <c r="B67"/>
  <c r="G67" s="1"/>
  <c r="B62"/>
  <c r="F30"/>
  <c r="AJ60" i="112"/>
  <c r="AK60"/>
  <c r="BL7" i="111"/>
  <c r="BL4"/>
  <c r="AK46" i="112"/>
  <c r="AJ46"/>
  <c r="AT34"/>
  <c r="AU34" s="1"/>
  <c r="AV4" i="111"/>
  <c r="AV7"/>
  <c r="AU7"/>
  <c r="BE7" s="1"/>
  <c r="D151" i="110"/>
  <c r="F151" s="1"/>
  <c r="AD28" i="114"/>
  <c r="C151" i="110" s="1"/>
  <c r="AD58" i="112"/>
  <c r="AD71" s="1"/>
  <c r="C12" i="107" s="1"/>
  <c r="AC71" i="112"/>
  <c r="AE58"/>
  <c r="AE71" s="1"/>
  <c r="E12" i="107" s="1"/>
  <c r="AC72" i="112"/>
  <c r="AD72" s="1"/>
  <c r="S83" s="1"/>
  <c r="AH62"/>
  <c r="AG62"/>
  <c r="AA44"/>
  <c r="AA53" s="1"/>
  <c r="C8" i="107" s="1"/>
  <c r="AB44" i="112"/>
  <c r="AB53" s="1"/>
  <c r="E8" i="107" s="1"/>
  <c r="AG120" i="110"/>
  <c r="AA120"/>
  <c r="W120"/>
  <c r="O120"/>
  <c r="K120"/>
  <c r="X120"/>
  <c r="AD120"/>
  <c r="M120"/>
  <c r="AC120"/>
  <c r="U120"/>
  <c r="N120"/>
  <c r="P120"/>
  <c r="AF120"/>
  <c r="Z120"/>
  <c r="AB120"/>
  <c r="Q120"/>
  <c r="AE120"/>
  <c r="Y120"/>
  <c r="L120"/>
  <c r="V120"/>
  <c r="R120"/>
  <c r="S120"/>
  <c r="T120"/>
  <c r="AJ64" i="112"/>
  <c r="AK64"/>
  <c r="AG46" i="110"/>
  <c r="U46"/>
  <c r="T46"/>
  <c r="S46"/>
  <c r="R46"/>
  <c r="K46"/>
  <c r="Q46"/>
  <c r="Z46"/>
  <c r="P46"/>
  <c r="AF46"/>
  <c r="M46"/>
  <c r="O46"/>
  <c r="AA46"/>
  <c r="W46"/>
  <c r="AB46"/>
  <c r="Y46"/>
  <c r="X46"/>
  <c r="L46"/>
  <c r="AD46"/>
  <c r="AE46"/>
  <c r="V46"/>
  <c r="N46"/>
  <c r="AC46"/>
  <c r="AK63" i="112"/>
  <c r="AJ63"/>
  <c r="AV6" i="111"/>
  <c r="AU3"/>
  <c r="BE3" s="1"/>
  <c r="AS35" i="112"/>
  <c r="AT35" s="1"/>
  <c r="AU6" i="111"/>
  <c r="BE6" s="1"/>
  <c r="AT20" i="112"/>
  <c r="AU20" s="1"/>
  <c r="AV3" i="111"/>
  <c r="AH46" i="112"/>
  <c r="AG46"/>
  <c r="BH7" i="111"/>
  <c r="AX6"/>
  <c r="AF53" i="112"/>
  <c r="AH71"/>
  <c r="E13" i="107" s="1"/>
  <c r="B34" i="110"/>
  <c r="B35" s="1"/>
  <c r="AU4" i="111"/>
  <c r="BE4" s="1"/>
  <c r="BJ4"/>
  <c r="BI7"/>
  <c r="AI53" i="112"/>
  <c r="AG61" i="110"/>
  <c r="Z61"/>
  <c r="Y61"/>
  <c r="AC61"/>
  <c r="M61"/>
  <c r="AF61"/>
  <c r="V61"/>
  <c r="AE61"/>
  <c r="AA61"/>
  <c r="U61"/>
  <c r="R61"/>
  <c r="T61"/>
  <c r="Q61"/>
  <c r="L61"/>
  <c r="P61"/>
  <c r="K61"/>
  <c r="O61"/>
  <c r="X61"/>
  <c r="AD61"/>
  <c r="S61"/>
  <c r="N61"/>
  <c r="AB61"/>
  <c r="W61"/>
  <c r="AH59" i="112"/>
  <c r="AG59"/>
  <c r="AG71" s="1"/>
  <c r="C13" i="107" s="1"/>
  <c r="AF72" i="112"/>
  <c r="AG72" s="1"/>
  <c r="T83" s="1"/>
  <c r="BI3" i="111"/>
  <c r="BI6"/>
  <c r="AA62" i="112"/>
  <c r="AB62"/>
  <c r="AB69"/>
  <c r="AA69"/>
  <c r="AA61"/>
  <c r="AB61"/>
  <c r="AB71" s="1"/>
  <c r="E11" i="107" s="1"/>
  <c r="B48" i="110"/>
  <c r="G48" s="1"/>
  <c r="B86"/>
  <c r="B124"/>
  <c r="G124" s="1"/>
  <c r="B163"/>
  <c r="F52"/>
  <c r="B89"/>
  <c r="B165"/>
  <c r="G165" s="1"/>
  <c r="B15"/>
  <c r="G15" s="1"/>
  <c r="F90"/>
  <c r="B127"/>
  <c r="F16"/>
  <c r="F122"/>
  <c r="F15"/>
  <c r="F162"/>
  <c r="B17"/>
  <c r="G17" s="1"/>
  <c r="B164"/>
  <c r="G164" s="1"/>
  <c r="B11"/>
  <c r="B51"/>
  <c r="F85"/>
  <c r="F127"/>
  <c r="B159"/>
  <c r="F163"/>
  <c r="F50"/>
  <c r="F124"/>
  <c r="B161"/>
  <c r="B126"/>
  <c r="B85"/>
  <c r="F13"/>
  <c r="B16"/>
  <c r="B162"/>
  <c r="G162" s="1"/>
  <c r="B52"/>
  <c r="G52" s="1"/>
  <c r="B50"/>
  <c r="G50" s="1"/>
  <c r="B123"/>
  <c r="B12"/>
  <c r="B88"/>
  <c r="F159"/>
  <c r="B87"/>
  <c r="F53"/>
  <c r="F126"/>
  <c r="F128"/>
  <c r="F89"/>
  <c r="F17"/>
  <c r="B160"/>
  <c r="B122"/>
  <c r="G122" s="1"/>
  <c r="F161"/>
  <c r="F48"/>
  <c r="F49"/>
  <c r="F51"/>
  <c r="F164"/>
  <c r="F125"/>
  <c r="B54"/>
  <c r="G54" s="1"/>
  <c r="F54"/>
  <c r="F11"/>
  <c r="F88"/>
  <c r="B128"/>
  <c r="G128" s="1"/>
  <c r="F91"/>
  <c r="B49"/>
  <c r="B14"/>
  <c r="B125"/>
  <c r="G125" s="1"/>
  <c r="B53"/>
  <c r="G53" s="1"/>
  <c r="B47"/>
  <c r="F14"/>
  <c r="F87"/>
  <c r="B158"/>
  <c r="B13"/>
  <c r="G13" s="1"/>
  <c r="B91"/>
  <c r="B10"/>
  <c r="B90"/>
  <c r="G90" s="1"/>
  <c r="F9"/>
  <c r="B84"/>
  <c r="B121"/>
  <c r="F165"/>
  <c r="AA68" i="112"/>
  <c r="AB68"/>
  <c r="AJ44"/>
  <c r="AJ53" s="1"/>
  <c r="C10" i="107" s="1"/>
  <c r="AK44" i="112"/>
  <c r="BK4" i="111"/>
  <c r="AA71" i="112"/>
  <c r="C11" i="107" s="1"/>
  <c r="AK53" i="112"/>
  <c r="E10" i="107" s="1"/>
  <c r="AX3" i="111"/>
  <c r="F86" i="110" s="1"/>
  <c r="O59"/>
  <c r="S59"/>
  <c r="U59"/>
  <c r="Y59"/>
  <c r="AG59"/>
  <c r="AA59"/>
  <c r="AE59"/>
  <c r="L59"/>
  <c r="Q59"/>
  <c r="Z59"/>
  <c r="AC59"/>
  <c r="V59"/>
  <c r="AF59"/>
  <c r="B133"/>
  <c r="F133" s="1"/>
  <c r="K133" s="1"/>
  <c r="W59"/>
  <c r="X59"/>
  <c r="N59"/>
  <c r="AB59"/>
  <c r="R59"/>
  <c r="M59"/>
  <c r="K59"/>
  <c r="AD59"/>
  <c r="P59"/>
  <c r="F60"/>
  <c r="B119"/>
  <c r="B118"/>
  <c r="F118" s="1"/>
  <c r="B8"/>
  <c r="F23"/>
  <c r="F45"/>
  <c r="B56"/>
  <c r="F97"/>
  <c r="B108"/>
  <c r="AG96"/>
  <c r="AF96"/>
  <c r="AE96"/>
  <c r="U96"/>
  <c r="Z96"/>
  <c r="L96"/>
  <c r="X96"/>
  <c r="AC96"/>
  <c r="N96"/>
  <c r="R96"/>
  <c r="M96"/>
  <c r="AA96"/>
  <c r="S96"/>
  <c r="AD96"/>
  <c r="P96"/>
  <c r="W96"/>
  <c r="Q96"/>
  <c r="O96"/>
  <c r="AB96"/>
  <c r="K96"/>
  <c r="T96"/>
  <c r="V96"/>
  <c r="Y96"/>
  <c r="B71"/>
  <c r="AB133"/>
  <c r="V133"/>
  <c r="F134"/>
  <c r="F82"/>
  <c r="B93"/>
  <c r="K45" l="1"/>
  <c r="L45"/>
  <c r="M45"/>
  <c r="C8" i="123"/>
  <c r="C15" i="107"/>
  <c r="E15"/>
  <c r="E8" i="123"/>
  <c r="C10"/>
  <c r="C17" i="107"/>
  <c r="AG86" i="110"/>
  <c r="Z86"/>
  <c r="U86"/>
  <c r="W86"/>
  <c r="L86"/>
  <c r="M86"/>
  <c r="N86"/>
  <c r="K86"/>
  <c r="O86"/>
  <c r="AE86"/>
  <c r="T86"/>
  <c r="AD86"/>
  <c r="AF86"/>
  <c r="AB86"/>
  <c r="X86"/>
  <c r="V86"/>
  <c r="AA86"/>
  <c r="S86"/>
  <c r="Y86"/>
  <c r="Q86"/>
  <c r="AC86"/>
  <c r="P86"/>
  <c r="R86"/>
  <c r="C11" i="123"/>
  <c r="C18" i="107"/>
  <c r="B129" i="110"/>
  <c r="B18"/>
  <c r="AG87"/>
  <c r="N87"/>
  <c r="AD87"/>
  <c r="AC87"/>
  <c r="O87"/>
  <c r="U87"/>
  <c r="P87"/>
  <c r="Z87"/>
  <c r="L87"/>
  <c r="AF87"/>
  <c r="AB87"/>
  <c r="V87"/>
  <c r="X87"/>
  <c r="W87"/>
  <c r="Q87"/>
  <c r="R87"/>
  <c r="S87"/>
  <c r="AA87"/>
  <c r="AE87"/>
  <c r="K87"/>
  <c r="M87"/>
  <c r="T87"/>
  <c r="Y87"/>
  <c r="AG49"/>
  <c r="W49"/>
  <c r="T49"/>
  <c r="U49"/>
  <c r="AF49"/>
  <c r="Q49"/>
  <c r="S49"/>
  <c r="Y49"/>
  <c r="L49"/>
  <c r="AC49"/>
  <c r="O49"/>
  <c r="N49"/>
  <c r="AB49"/>
  <c r="R49"/>
  <c r="K49"/>
  <c r="AE49"/>
  <c r="M49"/>
  <c r="X49"/>
  <c r="P49"/>
  <c r="Z49"/>
  <c r="V49"/>
  <c r="AD49"/>
  <c r="AA49"/>
  <c r="AG126"/>
  <c r="Q126"/>
  <c r="N126"/>
  <c r="O126"/>
  <c r="L126"/>
  <c r="R126"/>
  <c r="AE126"/>
  <c r="Y126"/>
  <c r="AD126"/>
  <c r="T126"/>
  <c r="AF126"/>
  <c r="U126"/>
  <c r="X126"/>
  <c r="W126"/>
  <c r="Z126"/>
  <c r="S126"/>
  <c r="K126"/>
  <c r="AC126"/>
  <c r="AA126"/>
  <c r="M126"/>
  <c r="AB126"/>
  <c r="V126"/>
  <c r="P126"/>
  <c r="AG159"/>
  <c r="R159"/>
  <c r="T159"/>
  <c r="U159"/>
  <c r="Q159"/>
  <c r="L159"/>
  <c r="Z159"/>
  <c r="Y159"/>
  <c r="P159"/>
  <c r="S159"/>
  <c r="AD159"/>
  <c r="AE159"/>
  <c r="AA159"/>
  <c r="AC159"/>
  <c r="X159"/>
  <c r="N159"/>
  <c r="AF159"/>
  <c r="AB159"/>
  <c r="M159"/>
  <c r="V159"/>
  <c r="K159"/>
  <c r="O159"/>
  <c r="W159"/>
  <c r="AG163"/>
  <c r="AB163"/>
  <c r="L163"/>
  <c r="Q163"/>
  <c r="O163"/>
  <c r="V163"/>
  <c r="AA163"/>
  <c r="P163"/>
  <c r="M163"/>
  <c r="R163"/>
  <c r="K163"/>
  <c r="T163"/>
  <c r="U163"/>
  <c r="Z163"/>
  <c r="N163"/>
  <c r="X163"/>
  <c r="Y163"/>
  <c r="W163"/>
  <c r="AD163"/>
  <c r="AF163"/>
  <c r="AC163"/>
  <c r="S163"/>
  <c r="AE163"/>
  <c r="AG85"/>
  <c r="V85"/>
  <c r="S85"/>
  <c r="Q85"/>
  <c r="W85"/>
  <c r="AE85"/>
  <c r="R85"/>
  <c r="M85"/>
  <c r="K85"/>
  <c r="O85"/>
  <c r="U85"/>
  <c r="AA85"/>
  <c r="N85"/>
  <c r="AC85"/>
  <c r="L85"/>
  <c r="X85"/>
  <c r="P85"/>
  <c r="AD85"/>
  <c r="AF85"/>
  <c r="AB85"/>
  <c r="Z85"/>
  <c r="T85"/>
  <c r="Y85"/>
  <c r="AG16"/>
  <c r="T16"/>
  <c r="O16"/>
  <c r="M16"/>
  <c r="Y16"/>
  <c r="N16"/>
  <c r="P16"/>
  <c r="AF16"/>
  <c r="AE16"/>
  <c r="Q16"/>
  <c r="V16"/>
  <c r="W16"/>
  <c r="AB16"/>
  <c r="AA16"/>
  <c r="K16"/>
  <c r="X16"/>
  <c r="S16"/>
  <c r="AC16"/>
  <c r="L16"/>
  <c r="Z16"/>
  <c r="AD16"/>
  <c r="U16"/>
  <c r="R16"/>
  <c r="C13" i="123"/>
  <c r="C20" i="107"/>
  <c r="B107" i="110"/>
  <c r="AG139"/>
  <c r="L139"/>
  <c r="AB139"/>
  <c r="V139"/>
  <c r="AC139"/>
  <c r="M139"/>
  <c r="Y139"/>
  <c r="X139"/>
  <c r="Q139"/>
  <c r="U139"/>
  <c r="AD139"/>
  <c r="R139"/>
  <c r="AF139"/>
  <c r="AE139"/>
  <c r="W139"/>
  <c r="T139"/>
  <c r="N139"/>
  <c r="Z139"/>
  <c r="P139"/>
  <c r="AA139"/>
  <c r="S139"/>
  <c r="O139"/>
  <c r="K139"/>
  <c r="AG105"/>
  <c r="Y105"/>
  <c r="W105"/>
  <c r="AD105"/>
  <c r="X105"/>
  <c r="AE105"/>
  <c r="U105"/>
  <c r="R105"/>
  <c r="V105"/>
  <c r="N105"/>
  <c r="T105"/>
  <c r="Q105"/>
  <c r="L105"/>
  <c r="O105"/>
  <c r="Z105"/>
  <c r="K105"/>
  <c r="AA105"/>
  <c r="AB105"/>
  <c r="AC105"/>
  <c r="S105"/>
  <c r="M105"/>
  <c r="AF105"/>
  <c r="P105"/>
  <c r="AG180"/>
  <c r="T180"/>
  <c r="Y180"/>
  <c r="AE180"/>
  <c r="R180"/>
  <c r="N180"/>
  <c r="X180"/>
  <c r="AC180"/>
  <c r="M180"/>
  <c r="Z180"/>
  <c r="AD180"/>
  <c r="AB180"/>
  <c r="L180"/>
  <c r="Q180"/>
  <c r="O180"/>
  <c r="K180"/>
  <c r="S180"/>
  <c r="U180"/>
  <c r="P180"/>
  <c r="V180"/>
  <c r="AF180"/>
  <c r="AA180"/>
  <c r="W180"/>
  <c r="AG178"/>
  <c r="AF178"/>
  <c r="P178"/>
  <c r="U178"/>
  <c r="W178"/>
  <c r="AA178"/>
  <c r="V178"/>
  <c r="T178"/>
  <c r="Y178"/>
  <c r="AE178"/>
  <c r="R178"/>
  <c r="N178"/>
  <c r="AB178"/>
  <c r="Q178"/>
  <c r="K178"/>
  <c r="AC178"/>
  <c r="Z178"/>
  <c r="L178"/>
  <c r="O178"/>
  <c r="S178"/>
  <c r="M178"/>
  <c r="AD178"/>
  <c r="X178"/>
  <c r="AG140"/>
  <c r="L140"/>
  <c r="AB140"/>
  <c r="Y140"/>
  <c r="Z140"/>
  <c r="X140"/>
  <c r="S140"/>
  <c r="R140"/>
  <c r="Q140"/>
  <c r="AC140"/>
  <c r="P140"/>
  <c r="AD140"/>
  <c r="W140"/>
  <c r="AA140"/>
  <c r="N140"/>
  <c r="U140"/>
  <c r="M140"/>
  <c r="AF140"/>
  <c r="V140"/>
  <c r="O140"/>
  <c r="T140"/>
  <c r="AE140"/>
  <c r="K140"/>
  <c r="AG175"/>
  <c r="Y175"/>
  <c r="AD175"/>
  <c r="N175"/>
  <c r="AA175"/>
  <c r="AB175"/>
  <c r="AE175"/>
  <c r="AC175"/>
  <c r="M175"/>
  <c r="R175"/>
  <c r="P175"/>
  <c r="W175"/>
  <c r="O175"/>
  <c r="Q175"/>
  <c r="V175"/>
  <c r="X175"/>
  <c r="K175"/>
  <c r="T175"/>
  <c r="Z175"/>
  <c r="U175"/>
  <c r="L175"/>
  <c r="S175"/>
  <c r="AF175"/>
  <c r="AG68"/>
  <c r="R68"/>
  <c r="L68"/>
  <c r="K68"/>
  <c r="T68"/>
  <c r="AA68"/>
  <c r="AE68"/>
  <c r="N68"/>
  <c r="Q68"/>
  <c r="Y68"/>
  <c r="P68"/>
  <c r="AD68"/>
  <c r="S68"/>
  <c r="U68"/>
  <c r="M68"/>
  <c r="Z68"/>
  <c r="AB68"/>
  <c r="AC68"/>
  <c r="X68"/>
  <c r="V68"/>
  <c r="O68"/>
  <c r="AF68"/>
  <c r="W68"/>
  <c r="AG101"/>
  <c r="U101"/>
  <c r="R101"/>
  <c r="S101"/>
  <c r="AA101"/>
  <c r="N101"/>
  <c r="M101"/>
  <c r="L101"/>
  <c r="Z101"/>
  <c r="O101"/>
  <c r="AD101"/>
  <c r="AC101"/>
  <c r="K101"/>
  <c r="T101"/>
  <c r="AE101"/>
  <c r="Y101"/>
  <c r="AB101"/>
  <c r="P101"/>
  <c r="V101"/>
  <c r="X101"/>
  <c r="W101"/>
  <c r="AF101"/>
  <c r="Q101"/>
  <c r="E10" i="123"/>
  <c r="E17" i="107"/>
  <c r="AG165" i="110"/>
  <c r="T165"/>
  <c r="Y165"/>
  <c r="AE165"/>
  <c r="R165"/>
  <c r="AD165"/>
  <c r="AB165"/>
  <c r="AC165"/>
  <c r="W165"/>
  <c r="V165"/>
  <c r="AF165"/>
  <c r="L165"/>
  <c r="M165"/>
  <c r="S165"/>
  <c r="K165"/>
  <c r="P165"/>
  <c r="Q165"/>
  <c r="Z165"/>
  <c r="AA165"/>
  <c r="N165"/>
  <c r="O165"/>
  <c r="U165"/>
  <c r="X165"/>
  <c r="B166"/>
  <c r="AG91"/>
  <c r="Z91"/>
  <c r="X91"/>
  <c r="AE91"/>
  <c r="Y91"/>
  <c r="Q91"/>
  <c r="AD91"/>
  <c r="P91"/>
  <c r="AF91"/>
  <c r="AA91"/>
  <c r="V91"/>
  <c r="AC91"/>
  <c r="U91"/>
  <c r="AB91"/>
  <c r="R91"/>
  <c r="S91"/>
  <c r="L91"/>
  <c r="T91"/>
  <c r="N91"/>
  <c r="O91"/>
  <c r="W91"/>
  <c r="M91"/>
  <c r="K91"/>
  <c r="AG54"/>
  <c r="O54"/>
  <c r="AE54"/>
  <c r="AB54"/>
  <c r="P54"/>
  <c r="X54"/>
  <c r="Z54"/>
  <c r="S54"/>
  <c r="Q54"/>
  <c r="AC54"/>
  <c r="AF54"/>
  <c r="K54"/>
  <c r="L54"/>
  <c r="U54"/>
  <c r="M54"/>
  <c r="AA54"/>
  <c r="N54"/>
  <c r="R54"/>
  <c r="AD54"/>
  <c r="W54"/>
  <c r="Y54"/>
  <c r="V54"/>
  <c r="T54"/>
  <c r="AG51"/>
  <c r="W51"/>
  <c r="T51"/>
  <c r="S51"/>
  <c r="Y51"/>
  <c r="AC51"/>
  <c r="X51"/>
  <c r="Z51"/>
  <c r="O51"/>
  <c r="N51"/>
  <c r="V51"/>
  <c r="AF51"/>
  <c r="Q51"/>
  <c r="K51"/>
  <c r="AE51"/>
  <c r="P51"/>
  <c r="U51"/>
  <c r="AB51"/>
  <c r="L51"/>
  <c r="AD51"/>
  <c r="AA51"/>
  <c r="M51"/>
  <c r="R51"/>
  <c r="AG128"/>
  <c r="U128"/>
  <c r="S128"/>
  <c r="W128"/>
  <c r="O128"/>
  <c r="T128"/>
  <c r="Y128"/>
  <c r="AD128"/>
  <c r="Z128"/>
  <c r="K128"/>
  <c r="Q128"/>
  <c r="X128"/>
  <c r="AA128"/>
  <c r="L128"/>
  <c r="M128"/>
  <c r="N128"/>
  <c r="AE128"/>
  <c r="AB128"/>
  <c r="AF128"/>
  <c r="V128"/>
  <c r="R128"/>
  <c r="P128"/>
  <c r="AC128"/>
  <c r="AG50"/>
  <c r="O50"/>
  <c r="AE50"/>
  <c r="AB50"/>
  <c r="P50"/>
  <c r="X50"/>
  <c r="T50"/>
  <c r="K50"/>
  <c r="L50"/>
  <c r="Y50"/>
  <c r="N50"/>
  <c r="AA50"/>
  <c r="R50"/>
  <c r="AC50"/>
  <c r="AD50"/>
  <c r="W50"/>
  <c r="V50"/>
  <c r="Z50"/>
  <c r="U50"/>
  <c r="M50"/>
  <c r="AF50"/>
  <c r="Q50"/>
  <c r="S50"/>
  <c r="AG127"/>
  <c r="Y127"/>
  <c r="V127"/>
  <c r="S127"/>
  <c r="R127"/>
  <c r="W127"/>
  <c r="AC127"/>
  <c r="AF127"/>
  <c r="AB127"/>
  <c r="AD127"/>
  <c r="U127"/>
  <c r="AA127"/>
  <c r="N127"/>
  <c r="O127"/>
  <c r="Q127"/>
  <c r="P127"/>
  <c r="Z127"/>
  <c r="AE127"/>
  <c r="X127"/>
  <c r="L127"/>
  <c r="K127"/>
  <c r="T127"/>
  <c r="M127"/>
  <c r="AG122"/>
  <c r="M122"/>
  <c r="AC122"/>
  <c r="AD122"/>
  <c r="AF122"/>
  <c r="W122"/>
  <c r="AB122"/>
  <c r="Y122"/>
  <c r="X122"/>
  <c r="Z122"/>
  <c r="P122"/>
  <c r="V122"/>
  <c r="U122"/>
  <c r="R122"/>
  <c r="O122"/>
  <c r="Q122"/>
  <c r="K122"/>
  <c r="AE122"/>
  <c r="S122"/>
  <c r="AA122"/>
  <c r="T122"/>
  <c r="L122"/>
  <c r="N122"/>
  <c r="E11" i="123"/>
  <c r="E18" i="107"/>
  <c r="E13" i="123"/>
  <c r="E20" i="107"/>
  <c r="E12" i="123"/>
  <c r="E19" i="107"/>
  <c r="B70" i="110"/>
  <c r="AG176"/>
  <c r="AB176"/>
  <c r="L176"/>
  <c r="Q176"/>
  <c r="O176"/>
  <c r="K176"/>
  <c r="S176"/>
  <c r="P176"/>
  <c r="M176"/>
  <c r="R176"/>
  <c r="V176"/>
  <c r="T176"/>
  <c r="U176"/>
  <c r="Z176"/>
  <c r="N176"/>
  <c r="X176"/>
  <c r="Y176"/>
  <c r="W176"/>
  <c r="AD176"/>
  <c r="AF176"/>
  <c r="AA176"/>
  <c r="AE176"/>
  <c r="AC176"/>
  <c r="B144"/>
  <c r="AG31"/>
  <c r="W31"/>
  <c r="U31"/>
  <c r="V31"/>
  <c r="AD31"/>
  <c r="Q31"/>
  <c r="K31"/>
  <c r="AE31"/>
  <c r="N31"/>
  <c r="M31"/>
  <c r="X31"/>
  <c r="AA31"/>
  <c r="AF31"/>
  <c r="T31"/>
  <c r="Y31"/>
  <c r="S31"/>
  <c r="Z31"/>
  <c r="L31"/>
  <c r="AB31"/>
  <c r="O31"/>
  <c r="R31"/>
  <c r="AC31"/>
  <c r="P31"/>
  <c r="AG138"/>
  <c r="P138"/>
  <c r="AF138"/>
  <c r="AD138"/>
  <c r="K138"/>
  <c r="AC138"/>
  <c r="R138"/>
  <c r="L138"/>
  <c r="AB138"/>
  <c r="Y138"/>
  <c r="AE138"/>
  <c r="V138"/>
  <c r="AA138"/>
  <c r="X138"/>
  <c r="S138"/>
  <c r="W138"/>
  <c r="O138"/>
  <c r="U138"/>
  <c r="T138"/>
  <c r="M138"/>
  <c r="Z138"/>
  <c r="Q138"/>
  <c r="N138"/>
  <c r="AG102"/>
  <c r="U102"/>
  <c r="T102"/>
  <c r="W102"/>
  <c r="AF102"/>
  <c r="AB102"/>
  <c r="AC102"/>
  <c r="P102"/>
  <c r="N102"/>
  <c r="AA102"/>
  <c r="Y102"/>
  <c r="AE102"/>
  <c r="V102"/>
  <c r="R102"/>
  <c r="Q102"/>
  <c r="Z102"/>
  <c r="L102"/>
  <c r="S102"/>
  <c r="K102"/>
  <c r="O102"/>
  <c r="M102"/>
  <c r="X102"/>
  <c r="AD102"/>
  <c r="AG63"/>
  <c r="Z63"/>
  <c r="Y63"/>
  <c r="X63"/>
  <c r="AB63"/>
  <c r="U63"/>
  <c r="V63"/>
  <c r="T63"/>
  <c r="Q63"/>
  <c r="AA63"/>
  <c r="L63"/>
  <c r="R63"/>
  <c r="O63"/>
  <c r="K63"/>
  <c r="P63"/>
  <c r="W63"/>
  <c r="S63"/>
  <c r="AD63"/>
  <c r="AC63"/>
  <c r="N63"/>
  <c r="M63"/>
  <c r="AF63"/>
  <c r="AE63"/>
  <c r="AG141"/>
  <c r="L141"/>
  <c r="AB141"/>
  <c r="V141"/>
  <c r="AD141"/>
  <c r="N141"/>
  <c r="R141"/>
  <c r="AF141"/>
  <c r="O141"/>
  <c r="AE141"/>
  <c r="Y141"/>
  <c r="X141"/>
  <c r="AA141"/>
  <c r="S141"/>
  <c r="Z141"/>
  <c r="T141"/>
  <c r="Q141"/>
  <c r="M141"/>
  <c r="AC141"/>
  <c r="U141"/>
  <c r="P141"/>
  <c r="W141"/>
  <c r="K141"/>
  <c r="AG104"/>
  <c r="Q104"/>
  <c r="O104"/>
  <c r="K104"/>
  <c r="L104"/>
  <c r="S104"/>
  <c r="W104"/>
  <c r="Y104"/>
  <c r="AE104"/>
  <c r="V104"/>
  <c r="P104"/>
  <c r="U104"/>
  <c r="Z104"/>
  <c r="AF104"/>
  <c r="AB104"/>
  <c r="M104"/>
  <c r="T104"/>
  <c r="X104"/>
  <c r="N104"/>
  <c r="AA104"/>
  <c r="AD104"/>
  <c r="R104"/>
  <c r="AC104"/>
  <c r="AG143"/>
  <c r="L143"/>
  <c r="AB143"/>
  <c r="V143"/>
  <c r="AE143"/>
  <c r="AD143"/>
  <c r="Z143"/>
  <c r="X143"/>
  <c r="Q143"/>
  <c r="Y143"/>
  <c r="W143"/>
  <c r="M143"/>
  <c r="K143"/>
  <c r="O143"/>
  <c r="AF143"/>
  <c r="U143"/>
  <c r="S143"/>
  <c r="T143"/>
  <c r="R143"/>
  <c r="AC143"/>
  <c r="P143"/>
  <c r="N143"/>
  <c r="AA143"/>
  <c r="E9" i="123"/>
  <c r="E16" i="107"/>
  <c r="AG9" i="110"/>
  <c r="S9"/>
  <c r="P9"/>
  <c r="M9"/>
  <c r="V9"/>
  <c r="Q9"/>
  <c r="O9"/>
  <c r="U9"/>
  <c r="AB9"/>
  <c r="Y9"/>
  <c r="K9"/>
  <c r="AE9"/>
  <c r="T9"/>
  <c r="N9"/>
  <c r="R9"/>
  <c r="AA9"/>
  <c r="AF9"/>
  <c r="AD9"/>
  <c r="X9"/>
  <c r="L9"/>
  <c r="W9"/>
  <c r="Z9"/>
  <c r="AC9"/>
  <c r="B55"/>
  <c r="AG11"/>
  <c r="P11"/>
  <c r="AF11"/>
  <c r="AC11"/>
  <c r="N11"/>
  <c r="O11"/>
  <c r="AD11"/>
  <c r="X11"/>
  <c r="W11"/>
  <c r="V11"/>
  <c r="U11"/>
  <c r="T11"/>
  <c r="R11"/>
  <c r="Z11"/>
  <c r="AA11"/>
  <c r="L11"/>
  <c r="M11"/>
  <c r="S11"/>
  <c r="Y11"/>
  <c r="AB11"/>
  <c r="AE11"/>
  <c r="Q11"/>
  <c r="K11"/>
  <c r="AG164"/>
  <c r="X164"/>
  <c r="AC164"/>
  <c r="M164"/>
  <c r="Z164"/>
  <c r="AD164"/>
  <c r="AB164"/>
  <c r="L164"/>
  <c r="Q164"/>
  <c r="O164"/>
  <c r="K164"/>
  <c r="S164"/>
  <c r="P164"/>
  <c r="W164"/>
  <c r="V164"/>
  <c r="T164"/>
  <c r="AE164"/>
  <c r="N164"/>
  <c r="AF164"/>
  <c r="U164"/>
  <c r="AA164"/>
  <c r="R164"/>
  <c r="Y164"/>
  <c r="AG161"/>
  <c r="T161"/>
  <c r="W161"/>
  <c r="Y161"/>
  <c r="U161"/>
  <c r="Q161"/>
  <c r="X161"/>
  <c r="R161"/>
  <c r="N161"/>
  <c r="AA161"/>
  <c r="AB161"/>
  <c r="AC161"/>
  <c r="S161"/>
  <c r="K161"/>
  <c r="AF161"/>
  <c r="L161"/>
  <c r="AD161"/>
  <c r="V161"/>
  <c r="Z161"/>
  <c r="P161"/>
  <c r="M161"/>
  <c r="O161"/>
  <c r="AE161"/>
  <c r="AG89"/>
  <c r="R89"/>
  <c r="M89"/>
  <c r="O89"/>
  <c r="W89"/>
  <c r="T89"/>
  <c r="Y89"/>
  <c r="Z89"/>
  <c r="AC89"/>
  <c r="AF89"/>
  <c r="Q89"/>
  <c r="V89"/>
  <c r="X89"/>
  <c r="L89"/>
  <c r="AE89"/>
  <c r="N89"/>
  <c r="S89"/>
  <c r="AB89"/>
  <c r="K89"/>
  <c r="P89"/>
  <c r="U89"/>
  <c r="AD89"/>
  <c r="AA89"/>
  <c r="AG53"/>
  <c r="O53"/>
  <c r="AE53"/>
  <c r="AD53"/>
  <c r="L53"/>
  <c r="R53"/>
  <c r="M53"/>
  <c r="S53"/>
  <c r="T53"/>
  <c r="AF53"/>
  <c r="AB53"/>
  <c r="K53"/>
  <c r="N53"/>
  <c r="X53"/>
  <c r="V53"/>
  <c r="AA53"/>
  <c r="Q53"/>
  <c r="AC53"/>
  <c r="Z53"/>
  <c r="P53"/>
  <c r="U53"/>
  <c r="Y53"/>
  <c r="W53"/>
  <c r="AG13"/>
  <c r="X13"/>
  <c r="R13"/>
  <c r="U13"/>
  <c r="AE13"/>
  <c r="AD13"/>
  <c r="T13"/>
  <c r="W13"/>
  <c r="K13"/>
  <c r="Q13"/>
  <c r="P13"/>
  <c r="M13"/>
  <c r="AA13"/>
  <c r="Z13"/>
  <c r="AF13"/>
  <c r="O13"/>
  <c r="AB13"/>
  <c r="V13"/>
  <c r="L13"/>
  <c r="N13"/>
  <c r="S13"/>
  <c r="Y13"/>
  <c r="AC13"/>
  <c r="AG124"/>
  <c r="Q124"/>
  <c r="N124"/>
  <c r="L124"/>
  <c r="V124"/>
  <c r="AF124"/>
  <c r="AB124"/>
  <c r="M124"/>
  <c r="S124"/>
  <c r="AA124"/>
  <c r="Z124"/>
  <c r="AC124"/>
  <c r="T124"/>
  <c r="R124"/>
  <c r="AE124"/>
  <c r="Y124"/>
  <c r="AD124"/>
  <c r="K124"/>
  <c r="W124"/>
  <c r="U124"/>
  <c r="P124"/>
  <c r="O124"/>
  <c r="X124"/>
  <c r="AG15"/>
  <c r="T15"/>
  <c r="M15"/>
  <c r="O15"/>
  <c r="U15"/>
  <c r="N15"/>
  <c r="P15"/>
  <c r="AF15"/>
  <c r="AC15"/>
  <c r="K15"/>
  <c r="AA15"/>
  <c r="S15"/>
  <c r="L15"/>
  <c r="W15"/>
  <c r="Q15"/>
  <c r="R15"/>
  <c r="AE15"/>
  <c r="AB15"/>
  <c r="AD15"/>
  <c r="Y15"/>
  <c r="Z15"/>
  <c r="V15"/>
  <c r="X15"/>
  <c r="AG90"/>
  <c r="N90"/>
  <c r="AD90"/>
  <c r="AA90"/>
  <c r="Y90"/>
  <c r="O90"/>
  <c r="AE90"/>
  <c r="Z90"/>
  <c r="U90"/>
  <c r="S90"/>
  <c r="AC90"/>
  <c r="W90"/>
  <c r="P90"/>
  <c r="AB90"/>
  <c r="K90"/>
  <c r="Q90"/>
  <c r="T90"/>
  <c r="V90"/>
  <c r="L90"/>
  <c r="M90"/>
  <c r="X90"/>
  <c r="AF90"/>
  <c r="R90"/>
  <c r="AG52"/>
  <c r="O52"/>
  <c r="AE52"/>
  <c r="AB52"/>
  <c r="P52"/>
  <c r="X52"/>
  <c r="AC52"/>
  <c r="W52"/>
  <c r="V52"/>
  <c r="Y52"/>
  <c r="U52"/>
  <c r="S52"/>
  <c r="Q52"/>
  <c r="Z52"/>
  <c r="AF52"/>
  <c r="K52"/>
  <c r="L52"/>
  <c r="T52"/>
  <c r="N52"/>
  <c r="AD52"/>
  <c r="M52"/>
  <c r="R52"/>
  <c r="AA52"/>
  <c r="B172"/>
  <c r="F172" s="1"/>
  <c r="B157"/>
  <c r="F157" s="1"/>
  <c r="AG30"/>
  <c r="S30"/>
  <c r="M30"/>
  <c r="Q30"/>
  <c r="Z30"/>
  <c r="U30"/>
  <c r="O30"/>
  <c r="AE30"/>
  <c r="AC30"/>
  <c r="P30"/>
  <c r="L30"/>
  <c r="AB30"/>
  <c r="R30"/>
  <c r="N30"/>
  <c r="AA30"/>
  <c r="AF30"/>
  <c r="T30"/>
  <c r="W30"/>
  <c r="Y30"/>
  <c r="AD30"/>
  <c r="X30"/>
  <c r="K30"/>
  <c r="V30"/>
  <c r="AG137"/>
  <c r="X137"/>
  <c r="Q137"/>
  <c r="S137"/>
  <c r="Y137"/>
  <c r="AD137"/>
  <c r="T137"/>
  <c r="K137"/>
  <c r="M137"/>
  <c r="R137"/>
  <c r="W137"/>
  <c r="P137"/>
  <c r="AF137"/>
  <c r="AA137"/>
  <c r="U137"/>
  <c r="O137"/>
  <c r="AC137"/>
  <c r="Z137"/>
  <c r="V137"/>
  <c r="AB137"/>
  <c r="N137"/>
  <c r="AE137"/>
  <c r="L137"/>
  <c r="AG24"/>
  <c r="T24"/>
  <c r="N24"/>
  <c r="Q24"/>
  <c r="Z24"/>
  <c r="K24"/>
  <c r="P24"/>
  <c r="AF24"/>
  <c r="AD24"/>
  <c r="O24"/>
  <c r="V24"/>
  <c r="R24"/>
  <c r="S24"/>
  <c r="AA24"/>
  <c r="AB24"/>
  <c r="AE24"/>
  <c r="AC24"/>
  <c r="X24"/>
  <c r="W24"/>
  <c r="U24"/>
  <c r="M24"/>
  <c r="L24"/>
  <c r="Y24"/>
  <c r="AG64"/>
  <c r="R64"/>
  <c r="L64"/>
  <c r="O64"/>
  <c r="T64"/>
  <c r="S64"/>
  <c r="X64"/>
  <c r="N64"/>
  <c r="AD64"/>
  <c r="AB64"/>
  <c r="K64"/>
  <c r="AF64"/>
  <c r="Y64"/>
  <c r="Z64"/>
  <c r="W64"/>
  <c r="AC64"/>
  <c r="M64"/>
  <c r="P64"/>
  <c r="V64"/>
  <c r="AA64"/>
  <c r="AE64"/>
  <c r="U64"/>
  <c r="Q64"/>
  <c r="AG28"/>
  <c r="S28"/>
  <c r="M28"/>
  <c r="P28"/>
  <c r="O28"/>
  <c r="AE28"/>
  <c r="AC28"/>
  <c r="Q28"/>
  <c r="Y28"/>
  <c r="AB28"/>
  <c r="AA28"/>
  <c r="AD28"/>
  <c r="L28"/>
  <c r="W28"/>
  <c r="V28"/>
  <c r="N28"/>
  <c r="K28"/>
  <c r="X28"/>
  <c r="T28"/>
  <c r="AF28"/>
  <c r="U28"/>
  <c r="Z28"/>
  <c r="R28"/>
  <c r="AG32"/>
  <c r="O32"/>
  <c r="AE32"/>
  <c r="AC32"/>
  <c r="P32"/>
  <c r="V32"/>
  <c r="AB32"/>
  <c r="K32"/>
  <c r="AA32"/>
  <c r="X32"/>
  <c r="Z32"/>
  <c r="N32"/>
  <c r="AD32"/>
  <c r="W32"/>
  <c r="R32"/>
  <c r="T32"/>
  <c r="Q32"/>
  <c r="U32"/>
  <c r="Y32"/>
  <c r="L32"/>
  <c r="M32"/>
  <c r="AF32"/>
  <c r="S32"/>
  <c r="AG29"/>
  <c r="S29"/>
  <c r="P29"/>
  <c r="M29"/>
  <c r="V29"/>
  <c r="AC29"/>
  <c r="O29"/>
  <c r="AE29"/>
  <c r="AF29"/>
  <c r="L29"/>
  <c r="R29"/>
  <c r="X29"/>
  <c r="K29"/>
  <c r="Z29"/>
  <c r="N29"/>
  <c r="U29"/>
  <c r="AD29"/>
  <c r="AA29"/>
  <c r="AB29"/>
  <c r="Y29"/>
  <c r="T29"/>
  <c r="W29"/>
  <c r="Q29"/>
  <c r="AG100"/>
  <c r="Y100"/>
  <c r="Z100"/>
  <c r="AB100"/>
  <c r="P100"/>
  <c r="R100"/>
  <c r="U100"/>
  <c r="T100"/>
  <c r="V100"/>
  <c r="AF100"/>
  <c r="AD100"/>
  <c r="Q100"/>
  <c r="O100"/>
  <c r="N100"/>
  <c r="W100"/>
  <c r="S100"/>
  <c r="X100"/>
  <c r="L100"/>
  <c r="AE100"/>
  <c r="AC100"/>
  <c r="AA100"/>
  <c r="K100"/>
  <c r="M100"/>
  <c r="AG69"/>
  <c r="V69"/>
  <c r="T69"/>
  <c r="W69"/>
  <c r="Q69"/>
  <c r="K69"/>
  <c r="R69"/>
  <c r="O69"/>
  <c r="P69"/>
  <c r="X69"/>
  <c r="AF69"/>
  <c r="AA69"/>
  <c r="Z69"/>
  <c r="AC69"/>
  <c r="S69"/>
  <c r="N69"/>
  <c r="AE69"/>
  <c r="U69"/>
  <c r="Y69"/>
  <c r="L69"/>
  <c r="AD69"/>
  <c r="M69"/>
  <c r="AB69"/>
  <c r="AG26"/>
  <c r="O26"/>
  <c r="AE26"/>
  <c r="AC26"/>
  <c r="Q26"/>
  <c r="Y26"/>
  <c r="T26"/>
  <c r="K26"/>
  <c r="AA26"/>
  <c r="X26"/>
  <c r="AB26"/>
  <c r="P26"/>
  <c r="AF26"/>
  <c r="W26"/>
  <c r="R26"/>
  <c r="U26"/>
  <c r="AD26"/>
  <c r="V26"/>
  <c r="N26"/>
  <c r="M26"/>
  <c r="S26"/>
  <c r="L26"/>
  <c r="Z26"/>
  <c r="AG174"/>
  <c r="AB174"/>
  <c r="L174"/>
  <c r="Q174"/>
  <c r="O174"/>
  <c r="N174"/>
  <c r="V174"/>
  <c r="P174"/>
  <c r="M174"/>
  <c r="R174"/>
  <c r="K174"/>
  <c r="T174"/>
  <c r="U174"/>
  <c r="Z174"/>
  <c r="AA174"/>
  <c r="X174"/>
  <c r="Y174"/>
  <c r="W174"/>
  <c r="S174"/>
  <c r="AC174"/>
  <c r="AE174"/>
  <c r="AF174"/>
  <c r="AD174"/>
  <c r="B92"/>
  <c r="AG14"/>
  <c r="X14"/>
  <c r="U14"/>
  <c r="R14"/>
  <c r="N14"/>
  <c r="M14"/>
  <c r="L14"/>
  <c r="AF14"/>
  <c r="K14"/>
  <c r="AC14"/>
  <c r="V14"/>
  <c r="AB14"/>
  <c r="AE14"/>
  <c r="AA14"/>
  <c r="W14"/>
  <c r="T14"/>
  <c r="Z14"/>
  <c r="Q14"/>
  <c r="AD14"/>
  <c r="P14"/>
  <c r="Y14"/>
  <c r="O14"/>
  <c r="S14"/>
  <c r="AG88"/>
  <c r="Z88"/>
  <c r="U88"/>
  <c r="X88"/>
  <c r="L88"/>
  <c r="W88"/>
  <c r="AD88"/>
  <c r="AF88"/>
  <c r="AB88"/>
  <c r="T88"/>
  <c r="V88"/>
  <c r="AA88"/>
  <c r="S88"/>
  <c r="M88"/>
  <c r="P88"/>
  <c r="Y88"/>
  <c r="K88"/>
  <c r="O88"/>
  <c r="R88"/>
  <c r="AE88"/>
  <c r="AC88"/>
  <c r="Q88"/>
  <c r="N88"/>
  <c r="AG125"/>
  <c r="U125"/>
  <c r="P125"/>
  <c r="R125"/>
  <c r="S125"/>
  <c r="N125"/>
  <c r="Q125"/>
  <c r="K125"/>
  <c r="AF125"/>
  <c r="L125"/>
  <c r="AD125"/>
  <c r="Z125"/>
  <c r="M125"/>
  <c r="AA125"/>
  <c r="W125"/>
  <c r="V125"/>
  <c r="O125"/>
  <c r="AC125"/>
  <c r="AE125"/>
  <c r="AB125"/>
  <c r="T125"/>
  <c r="X125"/>
  <c r="Y125"/>
  <c r="AG48"/>
  <c r="W48"/>
  <c r="Q48"/>
  <c r="X48"/>
  <c r="AC48"/>
  <c r="U48"/>
  <c r="AA48"/>
  <c r="AB48"/>
  <c r="Z48"/>
  <c r="AF48"/>
  <c r="S48"/>
  <c r="V48"/>
  <c r="R48"/>
  <c r="M48"/>
  <c r="O48"/>
  <c r="L48"/>
  <c r="AD48"/>
  <c r="Y48"/>
  <c r="AE48"/>
  <c r="N48"/>
  <c r="P48"/>
  <c r="K48"/>
  <c r="T48"/>
  <c r="AG17"/>
  <c r="L17"/>
  <c r="AB17"/>
  <c r="W17"/>
  <c r="AE17"/>
  <c r="S17"/>
  <c r="N17"/>
  <c r="X17"/>
  <c r="R17"/>
  <c r="Y17"/>
  <c r="AD17"/>
  <c r="AA17"/>
  <c r="T17"/>
  <c r="Q17"/>
  <c r="O17"/>
  <c r="P17"/>
  <c r="AC17"/>
  <c r="V17"/>
  <c r="M17"/>
  <c r="U17"/>
  <c r="AF17"/>
  <c r="Z17"/>
  <c r="K17"/>
  <c r="AG162"/>
  <c r="AB162"/>
  <c r="L162"/>
  <c r="O162"/>
  <c r="X162"/>
  <c r="Z162"/>
  <c r="Q162"/>
  <c r="AD162"/>
  <c r="M162"/>
  <c r="AF162"/>
  <c r="AE162"/>
  <c r="V162"/>
  <c r="R162"/>
  <c r="N162"/>
  <c r="P162"/>
  <c r="AC162"/>
  <c r="T162"/>
  <c r="K162"/>
  <c r="W162"/>
  <c r="AA162"/>
  <c r="Y162"/>
  <c r="U162"/>
  <c r="S162"/>
  <c r="C12" i="123"/>
  <c r="C19" i="107"/>
  <c r="B181" i="110"/>
  <c r="AG65"/>
  <c r="N65"/>
  <c r="AD65"/>
  <c r="AE65"/>
  <c r="P65"/>
  <c r="W65"/>
  <c r="AC65"/>
  <c r="R65"/>
  <c r="T65"/>
  <c r="AA65"/>
  <c r="AF65"/>
  <c r="O65"/>
  <c r="S65"/>
  <c r="M65"/>
  <c r="Q65"/>
  <c r="Z65"/>
  <c r="L65"/>
  <c r="AB65"/>
  <c r="U65"/>
  <c r="K65"/>
  <c r="Y65"/>
  <c r="V65"/>
  <c r="X65"/>
  <c r="B33"/>
  <c r="AG106"/>
  <c r="Y106"/>
  <c r="Z106"/>
  <c r="AA106"/>
  <c r="N106"/>
  <c r="P106"/>
  <c r="U106"/>
  <c r="T106"/>
  <c r="S106"/>
  <c r="AD106"/>
  <c r="AB106"/>
  <c r="Q106"/>
  <c r="O106"/>
  <c r="L106"/>
  <c r="V106"/>
  <c r="R106"/>
  <c r="W106"/>
  <c r="M106"/>
  <c r="AF106"/>
  <c r="K106"/>
  <c r="AE106"/>
  <c r="AC106"/>
  <c r="X106"/>
  <c r="AG103"/>
  <c r="U103"/>
  <c r="R103"/>
  <c r="T103"/>
  <c r="O103"/>
  <c r="V103"/>
  <c r="Q103"/>
  <c r="W103"/>
  <c r="P103"/>
  <c r="K103"/>
  <c r="M103"/>
  <c r="L103"/>
  <c r="AA103"/>
  <c r="AF103"/>
  <c r="AD103"/>
  <c r="AC103"/>
  <c r="N103"/>
  <c r="X103"/>
  <c r="S103"/>
  <c r="AE103"/>
  <c r="Y103"/>
  <c r="Z103"/>
  <c r="AB103"/>
  <c r="AG179"/>
  <c r="T179"/>
  <c r="Y179"/>
  <c r="AE179"/>
  <c r="R179"/>
  <c r="N179"/>
  <c r="AB179"/>
  <c r="AC179"/>
  <c r="W179"/>
  <c r="V179"/>
  <c r="AF179"/>
  <c r="L179"/>
  <c r="M179"/>
  <c r="S179"/>
  <c r="AA179"/>
  <c r="P179"/>
  <c r="Q179"/>
  <c r="Z179"/>
  <c r="K179"/>
  <c r="X179"/>
  <c r="AD179"/>
  <c r="O179"/>
  <c r="U179"/>
  <c r="AG66"/>
  <c r="R66"/>
  <c r="N66"/>
  <c r="AD66"/>
  <c r="AB66"/>
  <c r="K66"/>
  <c r="AF66"/>
  <c r="Y66"/>
  <c r="Z66"/>
  <c r="W66"/>
  <c r="AE66"/>
  <c r="M66"/>
  <c r="O66"/>
  <c r="L66"/>
  <c r="T66"/>
  <c r="U66"/>
  <c r="V66"/>
  <c r="X66"/>
  <c r="AA66"/>
  <c r="P66"/>
  <c r="S66"/>
  <c r="Q66"/>
  <c r="AC66"/>
  <c r="AG67"/>
  <c r="N67"/>
  <c r="AD67"/>
  <c r="AE67"/>
  <c r="P67"/>
  <c r="W67"/>
  <c r="AC67"/>
  <c r="Z67"/>
  <c r="Y67"/>
  <c r="AB67"/>
  <c r="L67"/>
  <c r="S67"/>
  <c r="V67"/>
  <c r="U67"/>
  <c r="K67"/>
  <c r="R67"/>
  <c r="M67"/>
  <c r="AF67"/>
  <c r="T67"/>
  <c r="AA67"/>
  <c r="Q67"/>
  <c r="X67"/>
  <c r="O67"/>
  <c r="AG142"/>
  <c r="X142"/>
  <c r="S142"/>
  <c r="U142"/>
  <c r="R142"/>
  <c r="O142"/>
  <c r="AB142"/>
  <c r="AD142"/>
  <c r="K142"/>
  <c r="AC142"/>
  <c r="T142"/>
  <c r="Y142"/>
  <c r="AE142"/>
  <c r="W142"/>
  <c r="P142"/>
  <c r="N142"/>
  <c r="AA142"/>
  <c r="Q142"/>
  <c r="L142"/>
  <c r="V142"/>
  <c r="Z142"/>
  <c r="M142"/>
  <c r="AF142"/>
  <c r="AG27"/>
  <c r="O27"/>
  <c r="AE27"/>
  <c r="AF27"/>
  <c r="M27"/>
  <c r="T27"/>
  <c r="N27"/>
  <c r="K27"/>
  <c r="AA27"/>
  <c r="Z27"/>
  <c r="Y27"/>
  <c r="X27"/>
  <c r="AB27"/>
  <c r="W27"/>
  <c r="U27"/>
  <c r="R27"/>
  <c r="AD27"/>
  <c r="Q27"/>
  <c r="V27"/>
  <c r="L27"/>
  <c r="P27"/>
  <c r="S27"/>
  <c r="AC27"/>
  <c r="AG177"/>
  <c r="X177"/>
  <c r="AC177"/>
  <c r="M177"/>
  <c r="Z177"/>
  <c r="N177"/>
  <c r="AB177"/>
  <c r="L177"/>
  <c r="Q177"/>
  <c r="O177"/>
  <c r="V177"/>
  <c r="AA177"/>
  <c r="P177"/>
  <c r="W177"/>
  <c r="K177"/>
  <c r="T177"/>
  <c r="AE177"/>
  <c r="AD177"/>
  <c r="AF177"/>
  <c r="U177"/>
  <c r="S177"/>
  <c r="R177"/>
  <c r="Y177"/>
  <c r="G160"/>
  <c r="G126"/>
  <c r="G101"/>
  <c r="AG53" i="112"/>
  <c r="C9" i="107" s="1"/>
  <c r="G87" i="110"/>
  <c r="G123"/>
  <c r="G85"/>
  <c r="G163"/>
  <c r="G178"/>
  <c r="G68"/>
  <c r="G138"/>
  <c r="G139"/>
  <c r="AK71" i="112"/>
  <c r="E14" i="107" s="1"/>
  <c r="G49" i="110"/>
  <c r="F123"/>
  <c r="G159"/>
  <c r="G11"/>
  <c r="G140"/>
  <c r="G176"/>
  <c r="G143"/>
  <c r="G31"/>
  <c r="G28"/>
  <c r="AJ71" i="112"/>
  <c r="C14" i="107" s="1"/>
  <c r="AA23" i="110"/>
  <c r="R17" i="119" s="1"/>
  <c r="B145" i="110"/>
  <c r="B19"/>
  <c r="G91"/>
  <c r="G14"/>
  <c r="F12"/>
  <c r="G88"/>
  <c r="F160"/>
  <c r="G16"/>
  <c r="G161"/>
  <c r="G51"/>
  <c r="G127"/>
  <c r="G89"/>
  <c r="G86"/>
  <c r="G141"/>
  <c r="G180"/>
  <c r="G65"/>
  <c r="G142"/>
  <c r="G26"/>
  <c r="G27"/>
  <c r="G63"/>
  <c r="AE133"/>
  <c r="AF23"/>
  <c r="W17" i="119" s="1"/>
  <c r="P23" i="110"/>
  <c r="G17" i="119" s="1"/>
  <c r="O23" i="110"/>
  <c r="F17" i="119" s="1"/>
  <c r="M7" i="110"/>
  <c r="M36" s="1"/>
  <c r="AD23"/>
  <c r="U17" i="119" s="1"/>
  <c r="N23" i="110"/>
  <c r="E17" i="119" s="1"/>
  <c r="U23" i="110"/>
  <c r="L17" i="119" s="1"/>
  <c r="Y133" i="110"/>
  <c r="R133"/>
  <c r="O133"/>
  <c r="L133"/>
  <c r="Z133"/>
  <c r="M133"/>
  <c r="AC133"/>
  <c r="N133"/>
  <c r="S133"/>
  <c r="C152"/>
  <c r="B155" s="1"/>
  <c r="F155" s="1"/>
  <c r="Z23"/>
  <c r="Q17" i="119" s="1"/>
  <c r="Q23" i="110"/>
  <c r="H17" i="119" s="1"/>
  <c r="L23" i="110"/>
  <c r="P133"/>
  <c r="Q133"/>
  <c r="U133"/>
  <c r="T133"/>
  <c r="X133"/>
  <c r="W133"/>
  <c r="AA133"/>
  <c r="AD133"/>
  <c r="AF133"/>
  <c r="AG133"/>
  <c r="X23"/>
  <c r="O17" i="119" s="1"/>
  <c r="K7" i="110"/>
  <c r="K36" s="1"/>
  <c r="M23"/>
  <c r="V23"/>
  <c r="M17" i="119" s="1"/>
  <c r="K23" i="110"/>
  <c r="AG23"/>
  <c r="X17" i="119" s="1"/>
  <c r="T23" i="110"/>
  <c r="K17" i="119" s="1"/>
  <c r="AC23" i="110"/>
  <c r="T17" i="119" s="1"/>
  <c r="S23" i="110"/>
  <c r="J17" i="119" s="1"/>
  <c r="W23" i="110"/>
  <c r="N17" i="119" s="1"/>
  <c r="F8" i="110"/>
  <c r="B130"/>
  <c r="F119"/>
  <c r="AB23"/>
  <c r="S17" i="119" s="1"/>
  <c r="AE23" i="110"/>
  <c r="V17" i="119" s="1"/>
  <c r="R23" i="110"/>
  <c r="I17" i="119" s="1"/>
  <c r="Y23" i="110"/>
  <c r="P17" i="119" s="1"/>
  <c r="B57" i="110"/>
  <c r="B109"/>
  <c r="B94"/>
  <c r="B72"/>
  <c r="B146"/>
  <c r="AG60"/>
  <c r="X18" i="119" s="1"/>
  <c r="K60" i="110"/>
  <c r="AA60"/>
  <c r="R18" i="119" s="1"/>
  <c r="X60" i="110"/>
  <c r="O18" i="119" s="1"/>
  <c r="Z60" i="110"/>
  <c r="Q18" i="119" s="1"/>
  <c r="P60" i="110"/>
  <c r="G18" i="119" s="1"/>
  <c r="AB60" i="110"/>
  <c r="S18" i="119" s="1"/>
  <c r="O60" i="110"/>
  <c r="F18" i="119" s="1"/>
  <c r="AE60" i="110"/>
  <c r="V18" i="119" s="1"/>
  <c r="AC60" i="110"/>
  <c r="T18" i="119" s="1"/>
  <c r="N60" i="110"/>
  <c r="E18" i="119" s="1"/>
  <c r="U60" i="110"/>
  <c r="L18" i="119" s="1"/>
  <c r="Y60" i="110"/>
  <c r="P18" i="119" s="1"/>
  <c r="R60" i="110"/>
  <c r="I18" i="119" s="1"/>
  <c r="AF60" i="110"/>
  <c r="W18" i="119" s="1"/>
  <c r="V60" i="110"/>
  <c r="M18" i="119" s="1"/>
  <c r="S60" i="110"/>
  <c r="J18" i="119" s="1"/>
  <c r="L60" i="110"/>
  <c r="AD60"/>
  <c r="U18" i="119" s="1"/>
  <c r="M60" i="110"/>
  <c r="T60"/>
  <c r="K18" i="119" s="1"/>
  <c r="Q60" i="110"/>
  <c r="H18" i="119" s="1"/>
  <c r="W60" i="110"/>
  <c r="N18" i="119" s="1"/>
  <c r="V97" i="110"/>
  <c r="M19" i="119" s="1"/>
  <c r="S97" i="110"/>
  <c r="J19" i="119" s="1"/>
  <c r="Q97" i="110"/>
  <c r="H19" i="119" s="1"/>
  <c r="AB97" i="110"/>
  <c r="S19" i="119" s="1"/>
  <c r="O97" i="110"/>
  <c r="F19" i="119" s="1"/>
  <c r="Z97" i="110"/>
  <c r="Q19" i="119" s="1"/>
  <c r="X97" i="110"/>
  <c r="O19" i="119" s="1"/>
  <c r="Y97" i="110"/>
  <c r="P19" i="119" s="1"/>
  <c r="L97" i="110"/>
  <c r="W97"/>
  <c r="N19" i="119" s="1"/>
  <c r="M97" i="110"/>
  <c r="T97"/>
  <c r="K19" i="119" s="1"/>
  <c r="AE97" i="110"/>
  <c r="V19" i="119" s="1"/>
  <c r="AD97" i="110"/>
  <c r="U19" i="119" s="1"/>
  <c r="U97" i="110"/>
  <c r="L19" i="119" s="1"/>
  <c r="N97" i="110"/>
  <c r="E19" i="119" s="1"/>
  <c r="AC97" i="110"/>
  <c r="T19" i="119" s="1"/>
  <c r="P97" i="110"/>
  <c r="G19" i="119" s="1"/>
  <c r="AG97" i="110"/>
  <c r="X19" i="119" s="1"/>
  <c r="AF97" i="110"/>
  <c r="W19" i="119" s="1"/>
  <c r="R97" i="110"/>
  <c r="I19" i="119" s="1"/>
  <c r="K97" i="110"/>
  <c r="AA97"/>
  <c r="R19" i="119" s="1"/>
  <c r="AG134" i="110"/>
  <c r="X20" i="119" s="1"/>
  <c r="M134" i="110"/>
  <c r="AC134"/>
  <c r="T20" i="119" s="1"/>
  <c r="AE134" i="110"/>
  <c r="V20" i="119" s="1"/>
  <c r="P134" i="110"/>
  <c r="G20" i="119" s="1"/>
  <c r="AA134" i="110"/>
  <c r="R20" i="119" s="1"/>
  <c r="AF134" i="110"/>
  <c r="W20" i="119" s="1"/>
  <c r="Q134" i="110"/>
  <c r="H20" i="119" s="1"/>
  <c r="O134" i="110"/>
  <c r="F20" i="119" s="1"/>
  <c r="N134" i="110"/>
  <c r="E20" i="119" s="1"/>
  <c r="AD134" i="110"/>
  <c r="U20" i="119" s="1"/>
  <c r="K134" i="110"/>
  <c r="W134"/>
  <c r="N20" i="119" s="1"/>
  <c r="Y134" i="110"/>
  <c r="P20" i="119" s="1"/>
  <c r="AB134" i="110"/>
  <c r="S20" i="119" s="1"/>
  <c r="X134" i="110"/>
  <c r="O20" i="119" s="1"/>
  <c r="U134" i="110"/>
  <c r="L20" i="119" s="1"/>
  <c r="T134" i="110"/>
  <c r="K20" i="119" s="1"/>
  <c r="L134" i="110"/>
  <c r="V134"/>
  <c r="M20" i="119" s="1"/>
  <c r="R134" i="110"/>
  <c r="I20" i="119" s="1"/>
  <c r="S134" i="110"/>
  <c r="J20" i="119" s="1"/>
  <c r="Z134" i="110"/>
  <c r="Q20" i="119" s="1"/>
  <c r="B20" i="110"/>
  <c r="F10" l="1"/>
  <c r="F19" s="1"/>
  <c r="F70"/>
  <c r="F18"/>
  <c r="G18"/>
  <c r="C15" i="123"/>
  <c r="C22" i="107"/>
  <c r="AG160" i="110"/>
  <c r="Y160"/>
  <c r="AF160"/>
  <c r="K160"/>
  <c r="L160"/>
  <c r="O160"/>
  <c r="AE160"/>
  <c r="M160"/>
  <c r="AB160"/>
  <c r="N160"/>
  <c r="T160"/>
  <c r="Q160"/>
  <c r="P160"/>
  <c r="X160"/>
  <c r="AD160"/>
  <c r="U160"/>
  <c r="V160"/>
  <c r="R160"/>
  <c r="S160"/>
  <c r="Z160"/>
  <c r="W160"/>
  <c r="AA160"/>
  <c r="AC160"/>
  <c r="C14" i="123"/>
  <c r="C21" i="107"/>
  <c r="AG123" i="110"/>
  <c r="M123"/>
  <c r="AC123"/>
  <c r="AA123"/>
  <c r="AD123"/>
  <c r="AB123"/>
  <c r="R123"/>
  <c r="Y123"/>
  <c r="V123"/>
  <c r="W123"/>
  <c r="T123"/>
  <c r="Z123"/>
  <c r="P123"/>
  <c r="N123"/>
  <c r="K123"/>
  <c r="X123"/>
  <c r="AE123"/>
  <c r="U123"/>
  <c r="O123"/>
  <c r="S123"/>
  <c r="L123"/>
  <c r="AF123"/>
  <c r="Q123"/>
  <c r="AG172"/>
  <c r="Z172"/>
  <c r="AE172"/>
  <c r="O172"/>
  <c r="AB172"/>
  <c r="X172"/>
  <c r="AC172"/>
  <c r="V172"/>
  <c r="W172"/>
  <c r="Q172"/>
  <c r="P172"/>
  <c r="AD172"/>
  <c r="AA172"/>
  <c r="Y172"/>
  <c r="U172"/>
  <c r="N172"/>
  <c r="K172"/>
  <c r="L172"/>
  <c r="M172"/>
  <c r="AF172"/>
  <c r="T172"/>
  <c r="R172"/>
  <c r="S172"/>
  <c r="G55"/>
  <c r="F55"/>
  <c r="E19" i="123"/>
  <c r="E26" i="107"/>
  <c r="E18" i="123"/>
  <c r="E25" i="107"/>
  <c r="E14" i="123"/>
  <c r="E21" i="107"/>
  <c r="C19" i="123"/>
  <c r="C26" i="107"/>
  <c r="F107" i="110"/>
  <c r="G107"/>
  <c r="AG12"/>
  <c r="L12"/>
  <c r="AB12"/>
  <c r="Z12"/>
  <c r="AD12"/>
  <c r="Y12"/>
  <c r="V12"/>
  <c r="T12"/>
  <c r="U12"/>
  <c r="R12"/>
  <c r="AC12"/>
  <c r="P12"/>
  <c r="O12"/>
  <c r="W12"/>
  <c r="N12"/>
  <c r="AF12"/>
  <c r="Q12"/>
  <c r="M12"/>
  <c r="S12"/>
  <c r="AA12"/>
  <c r="AE12"/>
  <c r="X12"/>
  <c r="K12"/>
  <c r="C9" i="123"/>
  <c r="C16" i="107"/>
  <c r="F181" i="110"/>
  <c r="G181" s="1"/>
  <c r="G144"/>
  <c r="F144"/>
  <c r="E20" i="123"/>
  <c r="E27" i="107"/>
  <c r="C18" i="123"/>
  <c r="C25" i="107"/>
  <c r="E15" i="123"/>
  <c r="E22" i="107"/>
  <c r="F158" i="110"/>
  <c r="AG157"/>
  <c r="Q157"/>
  <c r="V157"/>
  <c r="W157"/>
  <c r="O157"/>
  <c r="AE157"/>
  <c r="Y157"/>
  <c r="AA157"/>
  <c r="R157"/>
  <c r="S157"/>
  <c r="AC157"/>
  <c r="AF157"/>
  <c r="AB157"/>
  <c r="AD157"/>
  <c r="X157"/>
  <c r="M157"/>
  <c r="K157"/>
  <c r="Z157"/>
  <c r="N157"/>
  <c r="T157"/>
  <c r="L157"/>
  <c r="P157"/>
  <c r="U157"/>
  <c r="C17" i="123"/>
  <c r="C24" i="107"/>
  <c r="G33" i="110"/>
  <c r="F33"/>
  <c r="G92"/>
  <c r="F92"/>
  <c r="E16" i="123"/>
  <c r="E23" i="107"/>
  <c r="G166" i="110"/>
  <c r="F166"/>
  <c r="E24" i="107"/>
  <c r="E17" i="123"/>
  <c r="C20"/>
  <c r="C27" i="107"/>
  <c r="F129" i="110"/>
  <c r="F121" s="1"/>
  <c r="G12"/>
  <c r="L7"/>
  <c r="L36" s="1"/>
  <c r="L192" s="1"/>
  <c r="C153"/>
  <c r="B171" s="1"/>
  <c r="B156"/>
  <c r="B167" s="1"/>
  <c r="B131"/>
  <c r="K118"/>
  <c r="K147" s="1"/>
  <c r="K44"/>
  <c r="K73" s="1"/>
  <c r="M118"/>
  <c r="M147" s="1"/>
  <c r="K81"/>
  <c r="K110" s="1"/>
  <c r="B74"/>
  <c r="M81"/>
  <c r="M110" s="1"/>
  <c r="L44"/>
  <c r="L73" s="1"/>
  <c r="M44"/>
  <c r="M73" s="1"/>
  <c r="B111"/>
  <c r="L118"/>
  <c r="L147" s="1"/>
  <c r="L81"/>
  <c r="L110" s="1"/>
  <c r="B37"/>
  <c r="K192"/>
  <c r="M192"/>
  <c r="AG121" l="1"/>
  <c r="T121"/>
  <c r="O121"/>
  <c r="M121"/>
  <c r="M130" s="1"/>
  <c r="M131" s="1"/>
  <c r="R121"/>
  <c r="AD121"/>
  <c r="L121"/>
  <c r="L130" s="1"/>
  <c r="L131" s="1"/>
  <c r="AF121"/>
  <c r="S121"/>
  <c r="Q121"/>
  <c r="AB121"/>
  <c r="AE121"/>
  <c r="Y121"/>
  <c r="AC121"/>
  <c r="Z121"/>
  <c r="N121"/>
  <c r="U121"/>
  <c r="W121"/>
  <c r="K121"/>
  <c r="K130" s="1"/>
  <c r="K131" s="1"/>
  <c r="X121"/>
  <c r="V121"/>
  <c r="P121"/>
  <c r="AA121"/>
  <c r="G121"/>
  <c r="F130"/>
  <c r="F20"/>
  <c r="G20" s="1"/>
  <c r="G19"/>
  <c r="C26" i="123"/>
  <c r="C33" i="107"/>
  <c r="C33" i="123" s="1"/>
  <c r="E30" i="107"/>
  <c r="E30" i="123" s="1"/>
  <c r="E23"/>
  <c r="AG33" i="110"/>
  <c r="K33"/>
  <c r="AA33"/>
  <c r="Z33"/>
  <c r="AD33"/>
  <c r="V33"/>
  <c r="Y33"/>
  <c r="W33"/>
  <c r="U33"/>
  <c r="X33"/>
  <c r="AC33"/>
  <c r="N33"/>
  <c r="S33"/>
  <c r="P33"/>
  <c r="Q33"/>
  <c r="T33"/>
  <c r="AB33"/>
  <c r="O33"/>
  <c r="R33"/>
  <c r="AE33"/>
  <c r="M33"/>
  <c r="L33"/>
  <c r="AF33"/>
  <c r="F25"/>
  <c r="E29" i="107"/>
  <c r="E29" i="123" s="1"/>
  <c r="E22"/>
  <c r="E34" i="107"/>
  <c r="E34" i="123" s="1"/>
  <c r="E27"/>
  <c r="AG107" i="110"/>
  <c r="U107"/>
  <c r="R107"/>
  <c r="X107"/>
  <c r="AA107"/>
  <c r="K107"/>
  <c r="Q107"/>
  <c r="L107"/>
  <c r="P107"/>
  <c r="Z107"/>
  <c r="AF107"/>
  <c r="S107"/>
  <c r="M107"/>
  <c r="AC107"/>
  <c r="AB107"/>
  <c r="O107"/>
  <c r="V107"/>
  <c r="AD107"/>
  <c r="Y107"/>
  <c r="T107"/>
  <c r="N107"/>
  <c r="AE107"/>
  <c r="W107"/>
  <c r="F99"/>
  <c r="E26" i="123"/>
  <c r="E33" i="107"/>
  <c r="E33" i="123" s="1"/>
  <c r="AG70" i="110"/>
  <c r="N70"/>
  <c r="AD70"/>
  <c r="AB70"/>
  <c r="S70"/>
  <c r="P70"/>
  <c r="AF70"/>
  <c r="Z70"/>
  <c r="W70"/>
  <c r="AA70"/>
  <c r="AE70"/>
  <c r="X70"/>
  <c r="V70"/>
  <c r="Q70"/>
  <c r="T70"/>
  <c r="K70"/>
  <c r="O70"/>
  <c r="AC70"/>
  <c r="M70"/>
  <c r="U70"/>
  <c r="R70"/>
  <c r="Y70"/>
  <c r="L70"/>
  <c r="F62"/>
  <c r="G129"/>
  <c r="E31" i="107"/>
  <c r="E31" i="123" s="1"/>
  <c r="E24"/>
  <c r="AG181" i="110"/>
  <c r="AB181"/>
  <c r="L181"/>
  <c r="Q181"/>
  <c r="O181"/>
  <c r="V181"/>
  <c r="AA181"/>
  <c r="AF181"/>
  <c r="P181"/>
  <c r="U181"/>
  <c r="W181"/>
  <c r="S181"/>
  <c r="K181"/>
  <c r="T181"/>
  <c r="Y181"/>
  <c r="AE181"/>
  <c r="R181"/>
  <c r="AD181"/>
  <c r="AC181"/>
  <c r="N181"/>
  <c r="Z181"/>
  <c r="X181"/>
  <c r="M181"/>
  <c r="F173"/>
  <c r="AG10"/>
  <c r="W10"/>
  <c r="T10"/>
  <c r="M10"/>
  <c r="M19" s="1"/>
  <c r="M20" s="1"/>
  <c r="Z10"/>
  <c r="R10"/>
  <c r="AA10"/>
  <c r="AD10"/>
  <c r="Q10"/>
  <c r="AF10"/>
  <c r="S10"/>
  <c r="Y10"/>
  <c r="AB10"/>
  <c r="X10"/>
  <c r="O10"/>
  <c r="U10"/>
  <c r="L10"/>
  <c r="L19" s="1"/>
  <c r="L20" s="1"/>
  <c r="AC10"/>
  <c r="AE10"/>
  <c r="V10"/>
  <c r="P10"/>
  <c r="N10"/>
  <c r="K10"/>
  <c r="K19" s="1"/>
  <c r="K20" s="1"/>
  <c r="G10"/>
  <c r="AG158"/>
  <c r="AD158"/>
  <c r="N158"/>
  <c r="O158"/>
  <c r="AF158"/>
  <c r="Y158"/>
  <c r="AB158"/>
  <c r="R158"/>
  <c r="S158"/>
  <c r="M158"/>
  <c r="AE158"/>
  <c r="L158"/>
  <c r="V158"/>
  <c r="W158"/>
  <c r="U158"/>
  <c r="P158"/>
  <c r="T158"/>
  <c r="Z158"/>
  <c r="AC158"/>
  <c r="X158"/>
  <c r="Q158"/>
  <c r="K158"/>
  <c r="AA158"/>
  <c r="G158"/>
  <c r="E21" i="123"/>
  <c r="E28" i="107"/>
  <c r="C22" i="123"/>
  <c r="C29" i="107"/>
  <c r="C29" i="123" s="1"/>
  <c r="G70" i="110"/>
  <c r="AG129"/>
  <c r="Q129"/>
  <c r="K129"/>
  <c r="AF129"/>
  <c r="O129"/>
  <c r="Z129"/>
  <c r="W129"/>
  <c r="M129"/>
  <c r="AC129"/>
  <c r="AA129"/>
  <c r="AB129"/>
  <c r="S129"/>
  <c r="AE129"/>
  <c r="Y129"/>
  <c r="V129"/>
  <c r="T129"/>
  <c r="L129"/>
  <c r="X129"/>
  <c r="N129"/>
  <c r="P129"/>
  <c r="U129"/>
  <c r="R129"/>
  <c r="AD129"/>
  <c r="C27" i="123"/>
  <c r="C34" i="107"/>
  <c r="C34" i="123" s="1"/>
  <c r="AG166" i="110"/>
  <c r="X166"/>
  <c r="AC166"/>
  <c r="M166"/>
  <c r="Z166"/>
  <c r="AD166"/>
  <c r="AB166"/>
  <c r="L166"/>
  <c r="Q166"/>
  <c r="O166"/>
  <c r="K166"/>
  <c r="S166"/>
  <c r="AF166"/>
  <c r="P166"/>
  <c r="U166"/>
  <c r="W166"/>
  <c r="AA166"/>
  <c r="V166"/>
  <c r="R166"/>
  <c r="AE166"/>
  <c r="T166"/>
  <c r="N166"/>
  <c r="Y166"/>
  <c r="AG92"/>
  <c r="R92"/>
  <c r="K92"/>
  <c r="AF92"/>
  <c r="Q92"/>
  <c r="X92"/>
  <c r="AC92"/>
  <c r="N92"/>
  <c r="AD92"/>
  <c r="AA92"/>
  <c r="AB92"/>
  <c r="O92"/>
  <c r="AE92"/>
  <c r="Z92"/>
  <c r="U92"/>
  <c r="T92"/>
  <c r="S92"/>
  <c r="W92"/>
  <c r="M92"/>
  <c r="P92"/>
  <c r="V92"/>
  <c r="L92"/>
  <c r="Y92"/>
  <c r="F84"/>
  <c r="C24" i="123"/>
  <c r="C31" i="107"/>
  <c r="C31" i="123" s="1"/>
  <c r="C25"/>
  <c r="C32" i="107"/>
  <c r="C32" i="123" s="1"/>
  <c r="AG144" i="110"/>
  <c r="X144"/>
  <c r="S144"/>
  <c r="V144"/>
  <c r="M144"/>
  <c r="Q144"/>
  <c r="T144"/>
  <c r="N144"/>
  <c r="O144"/>
  <c r="Z144"/>
  <c r="R144"/>
  <c r="P144"/>
  <c r="AF144"/>
  <c r="AD144"/>
  <c r="K144"/>
  <c r="AA144"/>
  <c r="AE144"/>
  <c r="AB144"/>
  <c r="W144"/>
  <c r="L144"/>
  <c r="U144"/>
  <c r="AC144"/>
  <c r="Y144"/>
  <c r="F136"/>
  <c r="C16" i="123"/>
  <c r="C23" i="107"/>
  <c r="E32"/>
  <c r="E32" i="123" s="1"/>
  <c r="E25"/>
  <c r="AG55" i="110"/>
  <c r="W55"/>
  <c r="T55"/>
  <c r="R55"/>
  <c r="M55"/>
  <c r="P55"/>
  <c r="S55"/>
  <c r="N55"/>
  <c r="L55"/>
  <c r="AC55"/>
  <c r="AB55"/>
  <c r="O55"/>
  <c r="AE55"/>
  <c r="AD55"/>
  <c r="U55"/>
  <c r="Q55"/>
  <c r="V55"/>
  <c r="Y55"/>
  <c r="AA55"/>
  <c r="X55"/>
  <c r="K55"/>
  <c r="AF55"/>
  <c r="Z55"/>
  <c r="F47"/>
  <c r="C21" i="123"/>
  <c r="C28" i="107"/>
  <c r="AG18" i="110"/>
  <c r="T18"/>
  <c r="O18"/>
  <c r="N18"/>
  <c r="Y18"/>
  <c r="R18"/>
  <c r="L18"/>
  <c r="AF18"/>
  <c r="V18"/>
  <c r="K18"/>
  <c r="AA18"/>
  <c r="AB18"/>
  <c r="AE18"/>
  <c r="S18"/>
  <c r="M18"/>
  <c r="X18"/>
  <c r="Z18"/>
  <c r="Q18"/>
  <c r="AD18"/>
  <c r="U18"/>
  <c r="P18"/>
  <c r="W18"/>
  <c r="AC18"/>
  <c r="B170"/>
  <c r="F170" s="1"/>
  <c r="O170" s="1"/>
  <c r="F156"/>
  <c r="F167" s="1"/>
  <c r="F168" s="1"/>
  <c r="B148"/>
  <c r="M193"/>
  <c r="K195"/>
  <c r="L194"/>
  <c r="M194"/>
  <c r="L193"/>
  <c r="M195"/>
  <c r="K193"/>
  <c r="K194"/>
  <c r="L195"/>
  <c r="F171"/>
  <c r="B182"/>
  <c r="B168"/>
  <c r="J159" l="1"/>
  <c r="J160"/>
  <c r="J161"/>
  <c r="AG173"/>
  <c r="Y173"/>
  <c r="AD173"/>
  <c r="N173"/>
  <c r="AA173"/>
  <c r="L173"/>
  <c r="T173"/>
  <c r="AC173"/>
  <c r="Z173"/>
  <c r="X173"/>
  <c r="AB173"/>
  <c r="M173"/>
  <c r="AF173"/>
  <c r="K173"/>
  <c r="Q173"/>
  <c r="S173"/>
  <c r="O173"/>
  <c r="U173"/>
  <c r="V173"/>
  <c r="AE173"/>
  <c r="W173"/>
  <c r="R173"/>
  <c r="P173"/>
  <c r="G173"/>
  <c r="F131"/>
  <c r="G130"/>
  <c r="AG47"/>
  <c r="K47"/>
  <c r="K56" s="1"/>
  <c r="K57" s="1"/>
  <c r="Z47"/>
  <c r="X47"/>
  <c r="AF47"/>
  <c r="O47"/>
  <c r="AA47"/>
  <c r="N47"/>
  <c r="M47"/>
  <c r="M56" s="1"/>
  <c r="M57" s="1"/>
  <c r="Y47"/>
  <c r="T47"/>
  <c r="AD47"/>
  <c r="Q47"/>
  <c r="W47"/>
  <c r="AC47"/>
  <c r="U47"/>
  <c r="S47"/>
  <c r="AB47"/>
  <c r="AE47"/>
  <c r="V47"/>
  <c r="P47"/>
  <c r="R47"/>
  <c r="L47"/>
  <c r="L56" s="1"/>
  <c r="L57" s="1"/>
  <c r="G47"/>
  <c r="F56"/>
  <c r="AG136"/>
  <c r="P136"/>
  <c r="AF136"/>
  <c r="AD136"/>
  <c r="Z136"/>
  <c r="U136"/>
  <c r="W136"/>
  <c r="AB136"/>
  <c r="O136"/>
  <c r="AE136"/>
  <c r="R136"/>
  <c r="X136"/>
  <c r="Y136"/>
  <c r="Q136"/>
  <c r="T136"/>
  <c r="S136"/>
  <c r="AA136"/>
  <c r="N136"/>
  <c r="V136"/>
  <c r="K136"/>
  <c r="AC136"/>
  <c r="L136"/>
  <c r="M136"/>
  <c r="G136"/>
  <c r="F145"/>
  <c r="AG84"/>
  <c r="Q84"/>
  <c r="O84"/>
  <c r="L84"/>
  <c r="L93" s="1"/>
  <c r="L94" s="1"/>
  <c r="AB84"/>
  <c r="N84"/>
  <c r="Y84"/>
  <c r="AE84"/>
  <c r="V84"/>
  <c r="AF84"/>
  <c r="U84"/>
  <c r="Z84"/>
  <c r="R84"/>
  <c r="W84"/>
  <c r="M84"/>
  <c r="M93" s="1"/>
  <c r="M94" s="1"/>
  <c r="AA84"/>
  <c r="X84"/>
  <c r="K84"/>
  <c r="K93" s="1"/>
  <c r="K94" s="1"/>
  <c r="S84"/>
  <c r="P84"/>
  <c r="T84"/>
  <c r="AC84"/>
  <c r="AD84"/>
  <c r="F93"/>
  <c r="G84"/>
  <c r="AG62"/>
  <c r="R62"/>
  <c r="L62"/>
  <c r="M62"/>
  <c r="U62"/>
  <c r="S62"/>
  <c r="X62"/>
  <c r="N62"/>
  <c r="AD62"/>
  <c r="AB62"/>
  <c r="K62"/>
  <c r="AF62"/>
  <c r="Y62"/>
  <c r="Z62"/>
  <c r="W62"/>
  <c r="AA62"/>
  <c r="O62"/>
  <c r="P62"/>
  <c r="T62"/>
  <c r="Q62"/>
  <c r="V62"/>
  <c r="AC62"/>
  <c r="AE62"/>
  <c r="G62"/>
  <c r="F71"/>
  <c r="E28" i="123"/>
  <c r="E35" i="107"/>
  <c r="E35" i="123" s="1"/>
  <c r="AG99" i="110"/>
  <c r="U99"/>
  <c r="R99"/>
  <c r="X99"/>
  <c r="T99"/>
  <c r="Q99"/>
  <c r="L99"/>
  <c r="P99"/>
  <c r="AA99"/>
  <c r="N99"/>
  <c r="M99"/>
  <c r="AC99"/>
  <c r="AB99"/>
  <c r="S99"/>
  <c r="Z99"/>
  <c r="K99"/>
  <c r="Y99"/>
  <c r="V99"/>
  <c r="O99"/>
  <c r="AD99"/>
  <c r="AF99"/>
  <c r="AE99"/>
  <c r="W99"/>
  <c r="F108"/>
  <c r="G99"/>
  <c r="AG25"/>
  <c r="W25"/>
  <c r="U25"/>
  <c r="X25"/>
  <c r="Y25"/>
  <c r="R25"/>
  <c r="S25"/>
  <c r="Z25"/>
  <c r="M25"/>
  <c r="AC25"/>
  <c r="O25"/>
  <c r="AD25"/>
  <c r="T25"/>
  <c r="K25"/>
  <c r="Q25"/>
  <c r="L25"/>
  <c r="N25"/>
  <c r="AA25"/>
  <c r="V25"/>
  <c r="AB25"/>
  <c r="P25"/>
  <c r="AE25"/>
  <c r="AF25"/>
  <c r="G25"/>
  <c r="F34"/>
  <c r="C28" i="123"/>
  <c r="C35" i="107"/>
  <c r="C35" i="123" s="1"/>
  <c r="C23"/>
  <c r="C30" i="107"/>
  <c r="C30" i="123" s="1"/>
  <c r="AB170" i="110"/>
  <c r="Y170"/>
  <c r="V170"/>
  <c r="N170"/>
  <c r="Z170"/>
  <c r="U170"/>
  <c r="R170"/>
  <c r="AG170"/>
  <c r="L170"/>
  <c r="M170"/>
  <c r="X170"/>
  <c r="S170"/>
  <c r="AF170"/>
  <c r="T170"/>
  <c r="Q170"/>
  <c r="AC170"/>
  <c r="W170"/>
  <c r="AA170"/>
  <c r="AD170"/>
  <c r="K170"/>
  <c r="P170"/>
  <c r="AE170"/>
  <c r="G167"/>
  <c r="L196"/>
  <c r="M196"/>
  <c r="K196"/>
  <c r="B183"/>
  <c r="B185" s="1"/>
  <c r="G168"/>
  <c r="AD156"/>
  <c r="Z156"/>
  <c r="V156"/>
  <c r="R156"/>
  <c r="N156"/>
  <c r="AC171"/>
  <c r="M171"/>
  <c r="R171"/>
  <c r="P171"/>
  <c r="S171"/>
  <c r="AE171"/>
  <c r="T171"/>
  <c r="F182"/>
  <c r="G182" s="1"/>
  <c r="AF171"/>
  <c r="AB171"/>
  <c r="AE156"/>
  <c r="AA156"/>
  <c r="W156"/>
  <c r="S156"/>
  <c r="O156"/>
  <c r="K156"/>
  <c r="Q171"/>
  <c r="V171"/>
  <c r="X171"/>
  <c r="AA171"/>
  <c r="L171"/>
  <c r="W171"/>
  <c r="AF156"/>
  <c r="AB156"/>
  <c r="X156"/>
  <c r="T156"/>
  <c r="P156"/>
  <c r="L156"/>
  <c r="AG171"/>
  <c r="U171"/>
  <c r="Z171"/>
  <c r="AC156"/>
  <c r="M156"/>
  <c r="N171"/>
  <c r="Q156"/>
  <c r="O171"/>
  <c r="Y156"/>
  <c r="Y171"/>
  <c r="AG156"/>
  <c r="AD171"/>
  <c r="U156"/>
  <c r="K171"/>
  <c r="F57" l="1"/>
  <c r="G56"/>
  <c r="G131"/>
  <c r="W34"/>
  <c r="R34"/>
  <c r="AC34"/>
  <c r="Y34"/>
  <c r="X34"/>
  <c r="T34"/>
  <c r="AA34"/>
  <c r="N34"/>
  <c r="Z34"/>
  <c r="O34"/>
  <c r="AG34"/>
  <c r="L34"/>
  <c r="U34"/>
  <c r="V34"/>
  <c r="F35"/>
  <c r="S34"/>
  <c r="AD34"/>
  <c r="AE34"/>
  <c r="K34"/>
  <c r="P34"/>
  <c r="AB34"/>
  <c r="Q34"/>
  <c r="AF34"/>
  <c r="M34"/>
  <c r="G34"/>
  <c r="G71"/>
  <c r="AD71"/>
  <c r="AB71"/>
  <c r="K71"/>
  <c r="Z71"/>
  <c r="S71"/>
  <c r="V71"/>
  <c r="AG71"/>
  <c r="M71"/>
  <c r="F72"/>
  <c r="N71"/>
  <c r="L71"/>
  <c r="O71"/>
  <c r="P71"/>
  <c r="W71"/>
  <c r="Y71"/>
  <c r="X71"/>
  <c r="AF71"/>
  <c r="R71"/>
  <c r="U71"/>
  <c r="T71"/>
  <c r="AA71"/>
  <c r="Q71"/>
  <c r="AE71"/>
  <c r="AC71"/>
  <c r="G108"/>
  <c r="Q108"/>
  <c r="AA108"/>
  <c r="V108"/>
  <c r="F109"/>
  <c r="L108"/>
  <c r="X108"/>
  <c r="O108"/>
  <c r="AD108"/>
  <c r="Z108"/>
  <c r="M108"/>
  <c r="AG108"/>
  <c r="S108"/>
  <c r="T108"/>
  <c r="K108"/>
  <c r="AC108"/>
  <c r="AE108"/>
  <c r="Y108"/>
  <c r="N108"/>
  <c r="U108"/>
  <c r="P108"/>
  <c r="AF108"/>
  <c r="AB108"/>
  <c r="R108"/>
  <c r="W108"/>
  <c r="F94"/>
  <c r="G93"/>
  <c r="G145"/>
  <c r="T145"/>
  <c r="AE145"/>
  <c r="K145"/>
  <c r="AF145"/>
  <c r="R145"/>
  <c r="U145"/>
  <c r="N145"/>
  <c r="AC145"/>
  <c r="P145"/>
  <c r="W145"/>
  <c r="X145"/>
  <c r="O145"/>
  <c r="Q145"/>
  <c r="AB145"/>
  <c r="V145"/>
  <c r="M145"/>
  <c r="AA145"/>
  <c r="AG145"/>
  <c r="AD145"/>
  <c r="L145"/>
  <c r="Y145"/>
  <c r="S145"/>
  <c r="F146"/>
  <c r="Z145"/>
  <c r="J175"/>
  <c r="J174"/>
  <c r="J176"/>
  <c r="U167"/>
  <c r="U168" s="1"/>
  <c r="U155"/>
  <c r="U184" s="1"/>
  <c r="Y167"/>
  <c r="Y168" s="1"/>
  <c r="Y155"/>
  <c r="Y184" s="1"/>
  <c r="M167"/>
  <c r="M168" s="1"/>
  <c r="M155"/>
  <c r="M184" s="1"/>
  <c r="X167"/>
  <c r="X168" s="1"/>
  <c r="X155"/>
  <c r="X184" s="1"/>
  <c r="W155"/>
  <c r="W184" s="1"/>
  <c r="W167"/>
  <c r="W168" s="1"/>
  <c r="Z155"/>
  <c r="Z184" s="1"/>
  <c r="Z167"/>
  <c r="Z168" s="1"/>
  <c r="T155"/>
  <c r="T184" s="1"/>
  <c r="T167"/>
  <c r="T168" s="1"/>
  <c r="S167"/>
  <c r="S168" s="1"/>
  <c r="S155"/>
  <c r="S184" s="1"/>
  <c r="V167"/>
  <c r="V168" s="1"/>
  <c r="V155"/>
  <c r="V184" s="1"/>
  <c r="AG155"/>
  <c r="AG184" s="1"/>
  <c r="AG167"/>
  <c r="AG168" s="1"/>
  <c r="Q167"/>
  <c r="Q168" s="1"/>
  <c r="Q155"/>
  <c r="Q184" s="1"/>
  <c r="P155"/>
  <c r="P184" s="1"/>
  <c r="P167"/>
  <c r="P168" s="1"/>
  <c r="AF155"/>
  <c r="AF184" s="1"/>
  <c r="AF167"/>
  <c r="AF168" s="1"/>
  <c r="O155"/>
  <c r="O184" s="1"/>
  <c r="O167"/>
  <c r="O168" s="1"/>
  <c r="AE155"/>
  <c r="AE184" s="1"/>
  <c r="AE167"/>
  <c r="AE168" s="1"/>
  <c r="R167"/>
  <c r="R168" s="1"/>
  <c r="R155"/>
  <c r="R184" s="1"/>
  <c r="AC167"/>
  <c r="AC168" s="1"/>
  <c r="AC155"/>
  <c r="AC184" s="1"/>
  <c r="L155"/>
  <c r="L184" s="1"/>
  <c r="L167"/>
  <c r="L168" s="1"/>
  <c r="AB155"/>
  <c r="AB184" s="1"/>
  <c r="AB167"/>
  <c r="AB168" s="1"/>
  <c r="K167"/>
  <c r="K168" s="1"/>
  <c r="K155"/>
  <c r="K184" s="1"/>
  <c r="AA167"/>
  <c r="AA168" s="1"/>
  <c r="AA155"/>
  <c r="AA184" s="1"/>
  <c r="F183"/>
  <c r="G183" s="1"/>
  <c r="G185" s="1"/>
  <c r="T182"/>
  <c r="Y182"/>
  <c r="AE182"/>
  <c r="R182"/>
  <c r="N182"/>
  <c r="L182"/>
  <c r="S182"/>
  <c r="AG182"/>
  <c r="X182"/>
  <c r="AC182"/>
  <c r="M182"/>
  <c r="Z182"/>
  <c r="AD182"/>
  <c r="AB182"/>
  <c r="Q182"/>
  <c r="O182"/>
  <c r="K182"/>
  <c r="W182"/>
  <c r="U182"/>
  <c r="P182"/>
  <c r="AF182"/>
  <c r="AA182"/>
  <c r="V182"/>
  <c r="N155"/>
  <c r="N184" s="1"/>
  <c r="N167"/>
  <c r="N168" s="1"/>
  <c r="AD155"/>
  <c r="AD184" s="1"/>
  <c r="AD167"/>
  <c r="AD168" s="1"/>
  <c r="G57" l="1"/>
  <c r="F74"/>
  <c r="G146"/>
  <c r="AC146"/>
  <c r="V146"/>
  <c r="L146"/>
  <c r="L148" s="1"/>
  <c r="P146"/>
  <c r="Y146"/>
  <c r="AD146"/>
  <c r="U146"/>
  <c r="X146"/>
  <c r="AA146"/>
  <c r="Z146"/>
  <c r="K146"/>
  <c r="K148" s="1"/>
  <c r="AE146"/>
  <c r="AG146"/>
  <c r="T146"/>
  <c r="AB146"/>
  <c r="R146"/>
  <c r="N146"/>
  <c r="S146"/>
  <c r="Q146"/>
  <c r="AF146"/>
  <c r="M146"/>
  <c r="M148" s="1"/>
  <c r="O146"/>
  <c r="W146"/>
  <c r="AG109"/>
  <c r="M109"/>
  <c r="M111" s="1"/>
  <c r="Y109"/>
  <c r="Z109"/>
  <c r="O109"/>
  <c r="K109"/>
  <c r="K111" s="1"/>
  <c r="AD109"/>
  <c r="AA109"/>
  <c r="Q109"/>
  <c r="S109"/>
  <c r="AC109"/>
  <c r="G109"/>
  <c r="N109"/>
  <c r="X109"/>
  <c r="R109"/>
  <c r="P109"/>
  <c r="T109"/>
  <c r="V109"/>
  <c r="L109"/>
  <c r="L111" s="1"/>
  <c r="U109"/>
  <c r="AE109"/>
  <c r="AF109"/>
  <c r="AB109"/>
  <c r="W109"/>
  <c r="G72"/>
  <c r="M72"/>
  <c r="M74" s="1"/>
  <c r="AB72"/>
  <c r="AG72"/>
  <c r="U72"/>
  <c r="O72"/>
  <c r="AA72"/>
  <c r="AD72"/>
  <c r="L72"/>
  <c r="L74" s="1"/>
  <c r="V72"/>
  <c r="AF72"/>
  <c r="AE72"/>
  <c r="X72"/>
  <c r="W72"/>
  <c r="AC72"/>
  <c r="T72"/>
  <c r="K72"/>
  <c r="K74" s="1"/>
  <c r="Y72"/>
  <c r="S72"/>
  <c r="P72"/>
  <c r="N72"/>
  <c r="R72"/>
  <c r="Z72"/>
  <c r="Q72"/>
  <c r="P35"/>
  <c r="V35"/>
  <c r="W35"/>
  <c r="AB35"/>
  <c r="S35"/>
  <c r="N35"/>
  <c r="AF35"/>
  <c r="Z35"/>
  <c r="O35"/>
  <c r="L35"/>
  <c r="L37" s="1"/>
  <c r="AC35"/>
  <c r="T35"/>
  <c r="G35"/>
  <c r="G37" s="1"/>
  <c r="X35"/>
  <c r="Q35"/>
  <c r="AA35"/>
  <c r="AG35"/>
  <c r="R35"/>
  <c r="Y35"/>
  <c r="K35"/>
  <c r="K37" s="1"/>
  <c r="AD35"/>
  <c r="AE35"/>
  <c r="M35"/>
  <c r="M37" s="1"/>
  <c r="U35"/>
  <c r="F37"/>
  <c r="G148"/>
  <c r="G94"/>
  <c r="F111"/>
  <c r="F148"/>
  <c r="AF183"/>
  <c r="AF185" s="1"/>
  <c r="AF186" s="1"/>
  <c r="M183"/>
  <c r="M185" s="1"/>
  <c r="M186" s="1"/>
  <c r="R183"/>
  <c r="R185" s="1"/>
  <c r="R186" s="1"/>
  <c r="AD183"/>
  <c r="AD185" s="1"/>
  <c r="AD186" s="1"/>
  <c r="T183"/>
  <c r="T185" s="1"/>
  <c r="T186" s="1"/>
  <c r="AB183"/>
  <c r="AB185" s="1"/>
  <c r="AB186" s="1"/>
  <c r="U183"/>
  <c r="U185" s="1"/>
  <c r="U186" s="1"/>
  <c r="X183"/>
  <c r="X185" s="1"/>
  <c r="X186" s="1"/>
  <c r="W183"/>
  <c r="W185" s="1"/>
  <c r="W186" s="1"/>
  <c r="Y183"/>
  <c r="Y185" s="1"/>
  <c r="Y186" s="1"/>
  <c r="AE183"/>
  <c r="AE185" s="1"/>
  <c r="AE186" s="1"/>
  <c r="N183"/>
  <c r="N185" s="1"/>
  <c r="N186" s="1"/>
  <c r="AA183"/>
  <c r="AA185" s="1"/>
  <c r="AA186" s="1"/>
  <c r="O183"/>
  <c r="O185" s="1"/>
  <c r="O186" s="1"/>
  <c r="AG183"/>
  <c r="AG185" s="1"/>
  <c r="AG186" s="1"/>
  <c r="Z183"/>
  <c r="Z185" s="1"/>
  <c r="Z186" s="1"/>
  <c r="S183"/>
  <c r="S185" s="1"/>
  <c r="S186" s="1"/>
  <c r="AC183"/>
  <c r="AC185" s="1"/>
  <c r="AC186" s="1"/>
  <c r="L183"/>
  <c r="L185" s="1"/>
  <c r="L186" s="1"/>
  <c r="V183"/>
  <c r="V185" s="1"/>
  <c r="V186" s="1"/>
  <c r="P183"/>
  <c r="P185" s="1"/>
  <c r="P186" s="1"/>
  <c r="K183"/>
  <c r="K185" s="1"/>
  <c r="K186" s="1"/>
  <c r="Q183"/>
  <c r="Q185" s="1"/>
  <c r="Q186" s="1"/>
  <c r="F185"/>
  <c r="M38" l="1"/>
  <c r="M206" s="1"/>
  <c r="M199"/>
  <c r="L201"/>
  <c r="L112"/>
  <c r="L208" s="1"/>
  <c r="K199"/>
  <c r="K38"/>
  <c r="K206" s="1"/>
  <c r="K202"/>
  <c r="K149"/>
  <c r="K209" s="1"/>
  <c r="L202"/>
  <c r="L149"/>
  <c r="L209" s="1"/>
  <c r="G111"/>
  <c r="K75"/>
  <c r="K207" s="1"/>
  <c r="K200"/>
  <c r="L200"/>
  <c r="L75"/>
  <c r="L207" s="1"/>
  <c r="G74"/>
  <c r="L199"/>
  <c r="L38"/>
  <c r="L206" s="1"/>
  <c r="M200"/>
  <c r="M75"/>
  <c r="M207" s="1"/>
  <c r="K201"/>
  <c r="K112"/>
  <c r="K208" s="1"/>
  <c r="M201"/>
  <c r="M112"/>
  <c r="M208" s="1"/>
  <c r="M202"/>
  <c r="M149"/>
  <c r="M209" s="1"/>
  <c r="L210" l="1"/>
  <c r="K203"/>
  <c r="L203"/>
  <c r="K210"/>
  <c r="M210"/>
  <c r="M203"/>
  <c r="A34" i="119" l="1"/>
  <c r="A41"/>
  <c r="A48"/>
  <c r="A27"/>
  <c r="A35" l="1"/>
  <c r="A42"/>
  <c r="A49"/>
  <c r="A28"/>
  <c r="R119" i="110" l="1"/>
  <c r="V119"/>
  <c r="Z82"/>
  <c r="R82"/>
  <c r="N82"/>
  <c r="U45"/>
  <c r="S45"/>
  <c r="T45"/>
  <c r="W45"/>
  <c r="Y45"/>
  <c r="N45"/>
  <c r="S8"/>
  <c r="R8"/>
  <c r="Z8"/>
  <c r="AD8"/>
  <c r="Q8"/>
  <c r="V8"/>
  <c r="N8"/>
  <c r="AC119" l="1"/>
  <c r="X119"/>
  <c r="AE119"/>
  <c r="U119"/>
  <c r="P119"/>
  <c r="S119"/>
  <c r="Z119"/>
  <c r="W119"/>
  <c r="AG119"/>
  <c r="AB119"/>
  <c r="Y119"/>
  <c r="T119"/>
  <c r="AA119"/>
  <c r="O119"/>
  <c r="AF119"/>
  <c r="AD119"/>
  <c r="Q119"/>
  <c r="I16" i="119"/>
  <c r="R118" i="110"/>
  <c r="R147" s="1"/>
  <c r="R130"/>
  <c r="R131" s="1"/>
  <c r="R148" s="1"/>
  <c r="R202" s="1"/>
  <c r="M16" i="119"/>
  <c r="V118" i="110"/>
  <c r="V147" s="1"/>
  <c r="V130"/>
  <c r="V131" s="1"/>
  <c r="V148" s="1"/>
  <c r="V202" s="1"/>
  <c r="N119"/>
  <c r="N130" s="1"/>
  <c r="N131" s="1"/>
  <c r="N148" s="1"/>
  <c r="N202" s="1"/>
  <c r="AF82"/>
  <c r="AG82"/>
  <c r="X82"/>
  <c r="AA82"/>
  <c r="Y82"/>
  <c r="P82"/>
  <c r="AE82"/>
  <c r="S82"/>
  <c r="AB82"/>
  <c r="V82"/>
  <c r="AC82"/>
  <c r="T82"/>
  <c r="O82"/>
  <c r="U82"/>
  <c r="W82"/>
  <c r="AD82"/>
  <c r="Q82"/>
  <c r="I15" i="119"/>
  <c r="R81" i="110"/>
  <c r="R110" s="1"/>
  <c r="R93"/>
  <c r="R94" s="1"/>
  <c r="R111" s="1"/>
  <c r="R201" s="1"/>
  <c r="Q15" i="119"/>
  <c r="Z81" i="110"/>
  <c r="Z110" s="1"/>
  <c r="Z93"/>
  <c r="Z94" s="1"/>
  <c r="Z111" s="1"/>
  <c r="Z201" s="1"/>
  <c r="N81"/>
  <c r="N110" s="1"/>
  <c r="E15" i="119"/>
  <c r="N93" i="110"/>
  <c r="N94" s="1"/>
  <c r="N111" s="1"/>
  <c r="N201" s="1"/>
  <c r="O45"/>
  <c r="AF45"/>
  <c r="R45"/>
  <c r="AA45"/>
  <c r="P45"/>
  <c r="AE45"/>
  <c r="AG45"/>
  <c r="AB45"/>
  <c r="X45"/>
  <c r="AD45"/>
  <c r="AC45"/>
  <c r="Q45"/>
  <c r="Z45"/>
  <c r="V45"/>
  <c r="P14" i="119"/>
  <c r="Y44" i="110"/>
  <c r="Y73" s="1"/>
  <c r="Y56"/>
  <c r="Y57" s="1"/>
  <c r="Y74" s="1"/>
  <c r="Y200" s="1"/>
  <c r="L14" i="119"/>
  <c r="U44" i="110"/>
  <c r="U73" s="1"/>
  <c r="U56"/>
  <c r="U57" s="1"/>
  <c r="U74" s="1"/>
  <c r="U200" s="1"/>
  <c r="J14" i="119"/>
  <c r="S44" i="110"/>
  <c r="S73" s="1"/>
  <c r="S56"/>
  <c r="S57" s="1"/>
  <c r="S74" s="1"/>
  <c r="S200" s="1"/>
  <c r="K14" i="119"/>
  <c r="T44" i="110"/>
  <c r="T73" s="1"/>
  <c r="T56"/>
  <c r="T57" s="1"/>
  <c r="T74" s="1"/>
  <c r="T200" s="1"/>
  <c r="N14" i="119"/>
  <c r="W44" i="110"/>
  <c r="W73" s="1"/>
  <c r="W56"/>
  <c r="W57" s="1"/>
  <c r="W74" s="1"/>
  <c r="W200" s="1"/>
  <c r="N44"/>
  <c r="N73" s="1"/>
  <c r="E14" i="119"/>
  <c r="N56" i="110"/>
  <c r="N57" s="1"/>
  <c r="N74" s="1"/>
  <c r="N200" s="1"/>
  <c r="AG8"/>
  <c r="T8"/>
  <c r="Y8"/>
  <c r="W8"/>
  <c r="AF8"/>
  <c r="X8"/>
  <c r="AC8"/>
  <c r="P8"/>
  <c r="U8"/>
  <c r="AE8"/>
  <c r="AA8"/>
  <c r="O8"/>
  <c r="AB8"/>
  <c r="Q7"/>
  <c r="Q36" s="1"/>
  <c r="H13" i="119"/>
  <c r="Q19" i="110"/>
  <c r="Q20" s="1"/>
  <c r="Q37" s="1"/>
  <c r="Q199" s="1"/>
  <c r="V7"/>
  <c r="V36" s="1"/>
  <c r="M13" i="119"/>
  <c r="V19" i="110"/>
  <c r="V20" s="1"/>
  <c r="V37" s="1"/>
  <c r="V199" s="1"/>
  <c r="R7"/>
  <c r="R36" s="1"/>
  <c r="I13" i="119"/>
  <c r="R19" i="110"/>
  <c r="R20" s="1"/>
  <c r="R37" s="1"/>
  <c r="R199" s="1"/>
  <c r="Z7"/>
  <c r="Z36" s="1"/>
  <c r="Q13" i="119"/>
  <c r="Z19" i="110"/>
  <c r="Z20" s="1"/>
  <c r="Z37" s="1"/>
  <c r="Z199" s="1"/>
  <c r="J13" i="119"/>
  <c r="S7" i="110"/>
  <c r="S36" s="1"/>
  <c r="S19"/>
  <c r="S20" s="1"/>
  <c r="S37" s="1"/>
  <c r="S199" s="1"/>
  <c r="AD7"/>
  <c r="AD36" s="1"/>
  <c r="U13" i="119"/>
  <c r="AD19" i="110"/>
  <c r="AD20" s="1"/>
  <c r="AD37" s="1"/>
  <c r="AD199" s="1"/>
  <c r="Q118" l="1"/>
  <c r="Q147" s="1"/>
  <c r="H16" i="119"/>
  <c r="Q130" i="110"/>
  <c r="Q131" s="1"/>
  <c r="Q148" s="1"/>
  <c r="Q202" s="1"/>
  <c r="X16" i="119"/>
  <c r="AG118" i="110"/>
  <c r="AG147" s="1"/>
  <c r="AG130"/>
  <c r="AG131" s="1"/>
  <c r="AG148" s="1"/>
  <c r="AC118"/>
  <c r="AC147" s="1"/>
  <c r="T16" i="119"/>
  <c r="AC130" i="110"/>
  <c r="AC131" s="1"/>
  <c r="AC148" s="1"/>
  <c r="AC202" s="1"/>
  <c r="V195"/>
  <c r="V149"/>
  <c r="V209" s="1"/>
  <c r="I48" i="119"/>
  <c r="I83" s="1"/>
  <c r="I121" s="1"/>
  <c r="O24" i="125" s="1"/>
  <c r="I49" i="119"/>
  <c r="I84" s="1"/>
  <c r="I122" s="1"/>
  <c r="O25" i="125" s="1"/>
  <c r="AB118" i="110"/>
  <c r="AB147" s="1"/>
  <c r="S16" i="119"/>
  <c r="AB130" i="110"/>
  <c r="AB131" s="1"/>
  <c r="AB148" s="1"/>
  <c r="AB202" s="1"/>
  <c r="J16" i="119"/>
  <c r="S118" i="110"/>
  <c r="S147" s="1"/>
  <c r="S130"/>
  <c r="S131" s="1"/>
  <c r="S148" s="1"/>
  <c r="S202" s="1"/>
  <c r="O16" i="119"/>
  <c r="X118" i="110"/>
  <c r="X147" s="1"/>
  <c r="X130"/>
  <c r="X131" s="1"/>
  <c r="X148" s="1"/>
  <c r="X202" s="1"/>
  <c r="R195"/>
  <c r="R149"/>
  <c r="R209" s="1"/>
  <c r="AF118"/>
  <c r="AF147" s="1"/>
  <c r="W16" i="119"/>
  <c r="AF130" i="110"/>
  <c r="AF131" s="1"/>
  <c r="AF148" s="1"/>
  <c r="AF202" s="1"/>
  <c r="Y118"/>
  <c r="Y147" s="1"/>
  <c r="P16" i="119"/>
  <c r="Y130" i="110"/>
  <c r="Y131" s="1"/>
  <c r="Y148" s="1"/>
  <c r="Y202" s="1"/>
  <c r="Z118"/>
  <c r="Z147" s="1"/>
  <c r="Q16" i="119"/>
  <c r="Z130" i="110"/>
  <c r="Z131" s="1"/>
  <c r="Z148" s="1"/>
  <c r="Z202" s="1"/>
  <c r="V16" i="119"/>
  <c r="AE118" i="110"/>
  <c r="AE147" s="1"/>
  <c r="AE130"/>
  <c r="AE131" s="1"/>
  <c r="AE148" s="1"/>
  <c r="AE202" s="1"/>
  <c r="M48" i="119"/>
  <c r="M83" s="1"/>
  <c r="M121" s="1"/>
  <c r="S24" i="125" s="1"/>
  <c r="M49" i="119"/>
  <c r="M84" s="1"/>
  <c r="M122" s="1"/>
  <c r="S25" i="125" s="1"/>
  <c r="AA118" i="110"/>
  <c r="AA147" s="1"/>
  <c r="R16" i="119"/>
  <c r="AA130" i="110"/>
  <c r="AA131" s="1"/>
  <c r="AA148" s="1"/>
  <c r="AA202" s="1"/>
  <c r="G16" i="119"/>
  <c r="P118" i="110"/>
  <c r="P147" s="1"/>
  <c r="P130"/>
  <c r="P131" s="1"/>
  <c r="P148" s="1"/>
  <c r="P202" s="1"/>
  <c r="O118"/>
  <c r="O147" s="1"/>
  <c r="F16" i="119"/>
  <c r="O130" i="110"/>
  <c r="O131" s="1"/>
  <c r="O148" s="1"/>
  <c r="O202" s="1"/>
  <c r="U16" i="119"/>
  <c r="AD118" i="110"/>
  <c r="AD147" s="1"/>
  <c r="AD130"/>
  <c r="AD131" s="1"/>
  <c r="AD148" s="1"/>
  <c r="AD202" s="1"/>
  <c r="T118"/>
  <c r="T147" s="1"/>
  <c r="K16" i="119"/>
  <c r="T130" i="110"/>
  <c r="T131" s="1"/>
  <c r="T148" s="1"/>
  <c r="T202" s="1"/>
  <c r="N16" i="119"/>
  <c r="W118" i="110"/>
  <c r="W147" s="1"/>
  <c r="W130"/>
  <c r="W131" s="1"/>
  <c r="W148" s="1"/>
  <c r="W202" s="1"/>
  <c r="L16" i="119"/>
  <c r="U118" i="110"/>
  <c r="U147" s="1"/>
  <c r="U130"/>
  <c r="U131" s="1"/>
  <c r="U148" s="1"/>
  <c r="U202" s="1"/>
  <c r="N118"/>
  <c r="N147" s="1"/>
  <c r="N149" s="1"/>
  <c r="N209" s="1"/>
  <c r="E16" i="119"/>
  <c r="E48" s="1"/>
  <c r="E83" s="1"/>
  <c r="AD81" i="110"/>
  <c r="AD110" s="1"/>
  <c r="U15" i="119"/>
  <c r="AD93" i="110"/>
  <c r="AD94" s="1"/>
  <c r="AD111" s="1"/>
  <c r="AD201" s="1"/>
  <c r="T81"/>
  <c r="T110" s="1"/>
  <c r="K15" i="119"/>
  <c r="T93" i="110"/>
  <c r="T94" s="1"/>
  <c r="T111" s="1"/>
  <c r="T201" s="1"/>
  <c r="S81"/>
  <c r="S110" s="1"/>
  <c r="J15" i="119"/>
  <c r="S93" i="110"/>
  <c r="S94" s="1"/>
  <c r="S111" s="1"/>
  <c r="S201" s="1"/>
  <c r="AA81"/>
  <c r="AA110" s="1"/>
  <c r="R15" i="119"/>
  <c r="AA93" i="110"/>
  <c r="AA94" s="1"/>
  <c r="AA111" s="1"/>
  <c r="AA201" s="1"/>
  <c r="Q41" i="119"/>
  <c r="Q76" s="1"/>
  <c r="Q114" s="1"/>
  <c r="W17" i="125" s="1"/>
  <c r="Q42" i="119"/>
  <c r="Q77" s="1"/>
  <c r="Q115" s="1"/>
  <c r="W18" i="125" s="1"/>
  <c r="H15" i="119"/>
  <c r="Q81" i="110"/>
  <c r="Q110" s="1"/>
  <c r="Q93"/>
  <c r="Q94" s="1"/>
  <c r="Q111" s="1"/>
  <c r="Q201" s="1"/>
  <c r="F15" i="119"/>
  <c r="O81" i="110"/>
  <c r="O110" s="1"/>
  <c r="O93"/>
  <c r="O94" s="1"/>
  <c r="O111" s="1"/>
  <c r="O201" s="1"/>
  <c r="AB81"/>
  <c r="AB110" s="1"/>
  <c r="S15" i="119"/>
  <c r="AB93" i="110"/>
  <c r="AB94" s="1"/>
  <c r="AB111" s="1"/>
  <c r="AB201" s="1"/>
  <c r="P15" i="119"/>
  <c r="Y81" i="110"/>
  <c r="Y110" s="1"/>
  <c r="Y93"/>
  <c r="Y94" s="1"/>
  <c r="Y111" s="1"/>
  <c r="Y201" s="1"/>
  <c r="AF81"/>
  <c r="AF110" s="1"/>
  <c r="W15" i="119"/>
  <c r="AF93" i="110"/>
  <c r="AF94" s="1"/>
  <c r="AF111" s="1"/>
  <c r="AF201" s="1"/>
  <c r="Z194"/>
  <c r="Z112"/>
  <c r="Z208" s="1"/>
  <c r="I41" i="119"/>
  <c r="I76" s="1"/>
  <c r="I114" s="1"/>
  <c r="O17" i="125" s="1"/>
  <c r="I42" i="119"/>
  <c r="I77" s="1"/>
  <c r="I115" s="1"/>
  <c r="O18" i="125" s="1"/>
  <c r="L15" i="119"/>
  <c r="U81" i="110"/>
  <c r="U110" s="1"/>
  <c r="U93"/>
  <c r="U94" s="1"/>
  <c r="U111" s="1"/>
  <c r="U201" s="1"/>
  <c r="V81"/>
  <c r="V110" s="1"/>
  <c r="M15" i="119"/>
  <c r="V93" i="110"/>
  <c r="V94" s="1"/>
  <c r="V111" s="1"/>
  <c r="V201" s="1"/>
  <c r="G15" i="119"/>
  <c r="P81" i="110"/>
  <c r="P110" s="1"/>
  <c r="P93"/>
  <c r="P94" s="1"/>
  <c r="P111" s="1"/>
  <c r="P201" s="1"/>
  <c r="X15" i="119"/>
  <c r="AG81" i="110"/>
  <c r="AG110" s="1"/>
  <c r="AG93"/>
  <c r="AG94" s="1"/>
  <c r="AG111" s="1"/>
  <c r="R194"/>
  <c r="R112"/>
  <c r="R208" s="1"/>
  <c r="W81"/>
  <c r="W110" s="1"/>
  <c r="N15" i="119"/>
  <c r="W93" i="110"/>
  <c r="W94" s="1"/>
  <c r="W111" s="1"/>
  <c r="W201" s="1"/>
  <c r="T15" i="119"/>
  <c r="AC81" i="110"/>
  <c r="AC110" s="1"/>
  <c r="AC93"/>
  <c r="AC94" s="1"/>
  <c r="AC111" s="1"/>
  <c r="AC201" s="1"/>
  <c r="V15" i="119"/>
  <c r="AE81" i="110"/>
  <c r="AE110" s="1"/>
  <c r="AE93"/>
  <c r="AE94" s="1"/>
  <c r="AE111" s="1"/>
  <c r="AE201" s="1"/>
  <c r="X81"/>
  <c r="X110" s="1"/>
  <c r="O15" i="119"/>
  <c r="X93" i="110"/>
  <c r="X94" s="1"/>
  <c r="X111" s="1"/>
  <c r="X201" s="1"/>
  <c r="A15" i="119"/>
  <c r="E41"/>
  <c r="E76" s="1"/>
  <c r="E42"/>
  <c r="E77" s="1"/>
  <c r="N194" i="110"/>
  <c r="N112"/>
  <c r="N208" s="1"/>
  <c r="M14" i="119"/>
  <c r="V44" i="110"/>
  <c r="V73" s="1"/>
  <c r="V56"/>
  <c r="V57" s="1"/>
  <c r="V74" s="1"/>
  <c r="V200" s="1"/>
  <c r="V14" i="119"/>
  <c r="AE44" i="110"/>
  <c r="AE73" s="1"/>
  <c r="AE56"/>
  <c r="AE57" s="1"/>
  <c r="AE74" s="1"/>
  <c r="AE200" s="1"/>
  <c r="N34" i="119"/>
  <c r="N69" s="1"/>
  <c r="N107" s="1"/>
  <c r="T10" i="125" s="1"/>
  <c r="N35" i="119"/>
  <c r="N70" s="1"/>
  <c r="N108" s="1"/>
  <c r="T11" i="125" s="1"/>
  <c r="U193" i="110"/>
  <c r="U75"/>
  <c r="U207" s="1"/>
  <c r="P34" i="119"/>
  <c r="P69" s="1"/>
  <c r="P107" s="1"/>
  <c r="V10" i="125" s="1"/>
  <c r="P35" i="119"/>
  <c r="P70" s="1"/>
  <c r="P108" s="1"/>
  <c r="V11" i="125" s="1"/>
  <c r="X14" i="119"/>
  <c r="AG44" i="110"/>
  <c r="AG73" s="1"/>
  <c r="AG56"/>
  <c r="AG57" s="1"/>
  <c r="AG74" s="1"/>
  <c r="T193"/>
  <c r="T75"/>
  <c r="T207" s="1"/>
  <c r="J34" i="119"/>
  <c r="J69" s="1"/>
  <c r="J107" s="1"/>
  <c r="P10" i="125" s="1"/>
  <c r="J35" i="119"/>
  <c r="J70" s="1"/>
  <c r="J108" s="1"/>
  <c r="P11" i="125" s="1"/>
  <c r="Q14" i="119"/>
  <c r="Z44" i="110"/>
  <c r="Z73" s="1"/>
  <c r="Z56"/>
  <c r="Z57" s="1"/>
  <c r="Z74" s="1"/>
  <c r="Z200" s="1"/>
  <c r="O14" i="119"/>
  <c r="X44" i="110"/>
  <c r="X73" s="1"/>
  <c r="X56"/>
  <c r="X57" s="1"/>
  <c r="X74" s="1"/>
  <c r="X200" s="1"/>
  <c r="G14" i="119"/>
  <c r="P44" i="110"/>
  <c r="P73" s="1"/>
  <c r="P56"/>
  <c r="P57" s="1"/>
  <c r="P74" s="1"/>
  <c r="P200" s="1"/>
  <c r="F14" i="119"/>
  <c r="O44" i="110"/>
  <c r="O73" s="1"/>
  <c r="O56"/>
  <c r="O57" s="1"/>
  <c r="O74" s="1"/>
  <c r="O200" s="1"/>
  <c r="S193"/>
  <c r="S75"/>
  <c r="S207" s="1"/>
  <c r="L34" i="119"/>
  <c r="L69" s="1"/>
  <c r="L107" s="1"/>
  <c r="R10" i="125" s="1"/>
  <c r="L35" i="119"/>
  <c r="L70" s="1"/>
  <c r="L108" s="1"/>
  <c r="R11" i="125" s="1"/>
  <c r="U14" i="119"/>
  <c r="AD44" i="110"/>
  <c r="AD73" s="1"/>
  <c r="AD56"/>
  <c r="AD57" s="1"/>
  <c r="AD74" s="1"/>
  <c r="AD200" s="1"/>
  <c r="W14" i="119"/>
  <c r="AF44" i="110"/>
  <c r="AF73" s="1"/>
  <c r="AF56"/>
  <c r="AF57" s="1"/>
  <c r="AF74" s="1"/>
  <c r="AF200" s="1"/>
  <c r="T14" i="119"/>
  <c r="AC44" i="110"/>
  <c r="AC73" s="1"/>
  <c r="AC56"/>
  <c r="AC57" s="1"/>
  <c r="AC74" s="1"/>
  <c r="AC200" s="1"/>
  <c r="I14" i="119"/>
  <c r="I22" s="1"/>
  <c r="R44" i="110"/>
  <c r="R73" s="1"/>
  <c r="R56"/>
  <c r="R57" s="1"/>
  <c r="R74" s="1"/>
  <c r="R200" s="1"/>
  <c r="R203" s="1"/>
  <c r="W193"/>
  <c r="W75"/>
  <c r="W207" s="1"/>
  <c r="K34" i="119"/>
  <c r="K69" s="1"/>
  <c r="K107" s="1"/>
  <c r="Q10" i="125" s="1"/>
  <c r="K35" i="119"/>
  <c r="K70" s="1"/>
  <c r="K108" s="1"/>
  <c r="Q11" i="125" s="1"/>
  <c r="Y193" i="110"/>
  <c r="Y75"/>
  <c r="Y207" s="1"/>
  <c r="H14" i="119"/>
  <c r="Q44" i="110"/>
  <c r="Q73" s="1"/>
  <c r="Q56"/>
  <c r="Q57" s="1"/>
  <c r="Q74" s="1"/>
  <c r="Q200" s="1"/>
  <c r="S14" i="119"/>
  <c r="AB44" i="110"/>
  <c r="AB73" s="1"/>
  <c r="AB56"/>
  <c r="AB57" s="1"/>
  <c r="AB74" s="1"/>
  <c r="AB200" s="1"/>
  <c r="R14" i="119"/>
  <c r="AA44" i="110"/>
  <c r="AA73" s="1"/>
  <c r="AA56"/>
  <c r="AA57" s="1"/>
  <c r="AA74" s="1"/>
  <c r="AA200" s="1"/>
  <c r="N193"/>
  <c r="N75"/>
  <c r="N207" s="1"/>
  <c r="A14" i="119"/>
  <c r="E34"/>
  <c r="E69" s="1"/>
  <c r="E35"/>
  <c r="E70" s="1"/>
  <c r="AD192" i="110"/>
  <c r="AD38"/>
  <c r="AD206" s="1"/>
  <c r="I27" i="119"/>
  <c r="I28"/>
  <c r="I63" s="1"/>
  <c r="I101" s="1"/>
  <c r="O4" i="125" s="1"/>
  <c r="V192" i="110"/>
  <c r="V38"/>
  <c r="V206" s="1"/>
  <c r="AB7"/>
  <c r="AB36" s="1"/>
  <c r="S13" i="119"/>
  <c r="AB19" i="110"/>
  <c r="AB20" s="1"/>
  <c r="AB37" s="1"/>
  <c r="AB199" s="1"/>
  <c r="L13" i="119"/>
  <c r="U7" i="110"/>
  <c r="U36" s="1"/>
  <c r="U19"/>
  <c r="U20" s="1"/>
  <c r="U37" s="1"/>
  <c r="U199" s="1"/>
  <c r="W13" i="119"/>
  <c r="AF7" i="110"/>
  <c r="AF36" s="1"/>
  <c r="AF19"/>
  <c r="AF20" s="1"/>
  <c r="AF37" s="1"/>
  <c r="AF199" s="1"/>
  <c r="AG7"/>
  <c r="AG36" s="1"/>
  <c r="X13" i="119"/>
  <c r="AG19" i="110"/>
  <c r="AG20" s="1"/>
  <c r="AG37" s="1"/>
  <c r="U27" i="119"/>
  <c r="U28"/>
  <c r="U63" s="1"/>
  <c r="U101" s="1"/>
  <c r="AA4" i="125" s="1"/>
  <c r="J27" i="119"/>
  <c r="J28"/>
  <c r="J63" s="1"/>
  <c r="J101" s="1"/>
  <c r="P4" i="125" s="1"/>
  <c r="M27" i="119"/>
  <c r="M28"/>
  <c r="M63" s="1"/>
  <c r="M101" s="1"/>
  <c r="S4" i="125" s="1"/>
  <c r="Q192" i="110"/>
  <c r="Q38"/>
  <c r="Q206" s="1"/>
  <c r="AE7"/>
  <c r="AE36" s="1"/>
  <c r="V13" i="119"/>
  <c r="AE19" i="110"/>
  <c r="AE20" s="1"/>
  <c r="AE37" s="1"/>
  <c r="AE199" s="1"/>
  <c r="X7"/>
  <c r="X36" s="1"/>
  <c r="O13" i="119"/>
  <c r="X19" i="110"/>
  <c r="X20" s="1"/>
  <c r="X37" s="1"/>
  <c r="X199" s="1"/>
  <c r="T7"/>
  <c r="T36" s="1"/>
  <c r="K13" i="119"/>
  <c r="T19" i="110"/>
  <c r="T20" s="1"/>
  <c r="T37" s="1"/>
  <c r="T199" s="1"/>
  <c r="S192"/>
  <c r="S38"/>
  <c r="S206" s="1"/>
  <c r="Z192"/>
  <c r="Z38"/>
  <c r="Z206" s="1"/>
  <c r="H27" i="119"/>
  <c r="H28"/>
  <c r="H63" s="1"/>
  <c r="H101" s="1"/>
  <c r="N4" i="125" s="1"/>
  <c r="R13" i="119"/>
  <c r="AA7" i="110"/>
  <c r="AA36" s="1"/>
  <c r="AA19"/>
  <c r="AA20" s="1"/>
  <c r="AA37" s="1"/>
  <c r="AA199" s="1"/>
  <c r="T13" i="119"/>
  <c r="AC7" i="110"/>
  <c r="AC36" s="1"/>
  <c r="AC19"/>
  <c r="AC20" s="1"/>
  <c r="AC37" s="1"/>
  <c r="AC199" s="1"/>
  <c r="P13" i="119"/>
  <c r="Y7" i="110"/>
  <c r="Y36" s="1"/>
  <c r="Y19"/>
  <c r="Y20" s="1"/>
  <c r="Y37" s="1"/>
  <c r="Y199" s="1"/>
  <c r="Q27" i="119"/>
  <c r="Q28"/>
  <c r="Q63" s="1"/>
  <c r="Q101" s="1"/>
  <c r="W4" i="125" s="1"/>
  <c r="R192" i="110"/>
  <c r="R38"/>
  <c r="R206" s="1"/>
  <c r="F13" i="119"/>
  <c r="O7" i="110"/>
  <c r="O36" s="1"/>
  <c r="O19"/>
  <c r="O20" s="1"/>
  <c r="O37" s="1"/>
  <c r="O199" s="1"/>
  <c r="P7"/>
  <c r="P36" s="1"/>
  <c r="G13" i="119"/>
  <c r="P19" i="110"/>
  <c r="P20" s="1"/>
  <c r="P37" s="1"/>
  <c r="P199" s="1"/>
  <c r="N13" i="119"/>
  <c r="W7" i="110"/>
  <c r="W36" s="1"/>
  <c r="W19"/>
  <c r="W20" s="1"/>
  <c r="W37" s="1"/>
  <c r="W199" s="1"/>
  <c r="N195" l="1"/>
  <c r="Z203"/>
  <c r="J22" i="119"/>
  <c r="W195" i="110"/>
  <c r="W149"/>
  <c r="W209" s="1"/>
  <c r="T195"/>
  <c r="T149"/>
  <c r="T209" s="1"/>
  <c r="P195"/>
  <c r="P149"/>
  <c r="P209" s="1"/>
  <c r="AA195"/>
  <c r="AA149"/>
  <c r="AA209" s="1"/>
  <c r="Q48" i="119"/>
  <c r="Q83" s="1"/>
  <c r="Q121" s="1"/>
  <c r="W24" i="125" s="1"/>
  <c r="Q49" i="119"/>
  <c r="Q84" s="1"/>
  <c r="Q122" s="1"/>
  <c r="W25" i="125" s="1"/>
  <c r="Y195" i="110"/>
  <c r="Y149"/>
  <c r="Y209" s="1"/>
  <c r="O48" i="119"/>
  <c r="O83" s="1"/>
  <c r="O121" s="1"/>
  <c r="U24" i="125" s="1"/>
  <c r="O49" i="119"/>
  <c r="O84" s="1"/>
  <c r="O122" s="1"/>
  <c r="U25" i="125" s="1"/>
  <c r="H48" i="119"/>
  <c r="H83" s="1"/>
  <c r="H121" s="1"/>
  <c r="N24" i="125" s="1"/>
  <c r="H49" i="119"/>
  <c r="H84" s="1"/>
  <c r="H122" s="1"/>
  <c r="N25" i="125" s="1"/>
  <c r="L48" i="119"/>
  <c r="L83" s="1"/>
  <c r="L121" s="1"/>
  <c r="R24" i="125" s="1"/>
  <c r="L49" i="119"/>
  <c r="L84" s="1"/>
  <c r="L122" s="1"/>
  <c r="R25" i="125" s="1"/>
  <c r="AD195" i="110"/>
  <c r="AD149"/>
  <c r="AD209" s="1"/>
  <c r="O195"/>
  <c r="O149"/>
  <c r="O209" s="1"/>
  <c r="V48" i="119"/>
  <c r="V83" s="1"/>
  <c r="V121" s="1"/>
  <c r="AB24" i="125" s="1"/>
  <c r="V49" i="119"/>
  <c r="V84" s="1"/>
  <c r="V122" s="1"/>
  <c r="AB25" i="125" s="1"/>
  <c r="W48" i="119"/>
  <c r="W83" s="1"/>
  <c r="W121" s="1"/>
  <c r="AC24" i="125" s="1"/>
  <c r="W49" i="119"/>
  <c r="W84" s="1"/>
  <c r="W122" s="1"/>
  <c r="AC25" i="125" s="1"/>
  <c r="S195" i="110"/>
  <c r="S149"/>
  <c r="S209" s="1"/>
  <c r="AB195"/>
  <c r="AB149"/>
  <c r="AB209" s="1"/>
  <c r="AC195"/>
  <c r="AC149"/>
  <c r="AC209" s="1"/>
  <c r="AG149"/>
  <c r="S203"/>
  <c r="Q195"/>
  <c r="Q149"/>
  <c r="Q209" s="1"/>
  <c r="K48" i="119"/>
  <c r="K83" s="1"/>
  <c r="K121" s="1"/>
  <c r="Q24" i="125" s="1"/>
  <c r="K49" i="119"/>
  <c r="K84" s="1"/>
  <c r="K122" s="1"/>
  <c r="Q25" i="125" s="1"/>
  <c r="U48" i="119"/>
  <c r="U83" s="1"/>
  <c r="U121" s="1"/>
  <c r="AA24" i="125" s="1"/>
  <c r="U49" i="119"/>
  <c r="U84" s="1"/>
  <c r="U122" s="1"/>
  <c r="AA25" i="125" s="1"/>
  <c r="R48" i="119"/>
  <c r="R83" s="1"/>
  <c r="R121" s="1"/>
  <c r="X24" i="125" s="1"/>
  <c r="R49" i="119"/>
  <c r="R84" s="1"/>
  <c r="R122" s="1"/>
  <c r="X25" i="125" s="1"/>
  <c r="P48" i="119"/>
  <c r="P83" s="1"/>
  <c r="P121" s="1"/>
  <c r="V24" i="125" s="1"/>
  <c r="P49" i="119"/>
  <c r="P84" s="1"/>
  <c r="P122" s="1"/>
  <c r="V25" i="125" s="1"/>
  <c r="AF195" i="110"/>
  <c r="AF149"/>
  <c r="AF209" s="1"/>
  <c r="X195"/>
  <c r="X149"/>
  <c r="X209" s="1"/>
  <c r="J48" i="119"/>
  <c r="J83" s="1"/>
  <c r="J121" s="1"/>
  <c r="P24" i="125" s="1"/>
  <c r="J49" i="119"/>
  <c r="J84" s="1"/>
  <c r="J122" s="1"/>
  <c r="P25" i="125" s="1"/>
  <c r="U195" i="110"/>
  <c r="U149"/>
  <c r="U209" s="1"/>
  <c r="N48" i="119"/>
  <c r="N83" s="1"/>
  <c r="N121" s="1"/>
  <c r="T24" i="125" s="1"/>
  <c r="N49" i="119"/>
  <c r="N84" s="1"/>
  <c r="N122" s="1"/>
  <c r="T25" i="125" s="1"/>
  <c r="F48" i="119"/>
  <c r="F83" s="1"/>
  <c r="F121" s="1"/>
  <c r="L24" i="125" s="1"/>
  <c r="F49" i="119"/>
  <c r="F84" s="1"/>
  <c r="F122" s="1"/>
  <c r="L25" i="125" s="1"/>
  <c r="G48" i="119"/>
  <c r="G83" s="1"/>
  <c r="G121" s="1"/>
  <c r="M24" i="125" s="1"/>
  <c r="G49" i="119"/>
  <c r="G84" s="1"/>
  <c r="G122" s="1"/>
  <c r="M25" i="125" s="1"/>
  <c r="AE195" i="110"/>
  <c r="AE149"/>
  <c r="AE209" s="1"/>
  <c r="Z195"/>
  <c r="Z149"/>
  <c r="Z209" s="1"/>
  <c r="S48" i="119"/>
  <c r="S83" s="1"/>
  <c r="S121" s="1"/>
  <c r="Y24" i="125" s="1"/>
  <c r="S49" i="119"/>
  <c r="S84" s="1"/>
  <c r="S122" s="1"/>
  <c r="Y25" i="125" s="1"/>
  <c r="T48" i="119"/>
  <c r="T83" s="1"/>
  <c r="T121" s="1"/>
  <c r="Z24" i="125" s="1"/>
  <c r="T49" i="119"/>
  <c r="T84" s="1"/>
  <c r="T122" s="1"/>
  <c r="Z25" i="125" s="1"/>
  <c r="AA48" i="119"/>
  <c r="Y121" s="1"/>
  <c r="AE24" i="125" s="1"/>
  <c r="X48" i="119"/>
  <c r="X83" s="1"/>
  <c r="X121" s="1"/>
  <c r="AD24" i="125" s="1"/>
  <c r="AA49" i="119"/>
  <c r="Y122" s="1"/>
  <c r="AE25" i="125" s="1"/>
  <c r="X49" i="119"/>
  <c r="X84" s="1"/>
  <c r="X122" s="1"/>
  <c r="AD25" i="125" s="1"/>
  <c r="W203" i="110"/>
  <c r="Q22" i="119"/>
  <c r="A16"/>
  <c r="U203" i="110"/>
  <c r="E49" i="119"/>
  <c r="E84" s="1"/>
  <c r="E122" s="1"/>
  <c r="AB203" i="110"/>
  <c r="E121" i="119"/>
  <c r="V203" i="110"/>
  <c r="AC194"/>
  <c r="AC112"/>
  <c r="AC208" s="1"/>
  <c r="Y194"/>
  <c r="Y112"/>
  <c r="Y208" s="1"/>
  <c r="AB194"/>
  <c r="AB112"/>
  <c r="AB208" s="1"/>
  <c r="AA194"/>
  <c r="AA112"/>
  <c r="AA208" s="1"/>
  <c r="U41" i="119"/>
  <c r="U76" s="1"/>
  <c r="U114" s="1"/>
  <c r="AA17" i="125" s="1"/>
  <c r="U42" i="119"/>
  <c r="U77" s="1"/>
  <c r="U115" s="1"/>
  <c r="AA18" i="125" s="1"/>
  <c r="X194" i="110"/>
  <c r="X112"/>
  <c r="X208" s="1"/>
  <c r="N41" i="119"/>
  <c r="N76" s="1"/>
  <c r="N114" s="1"/>
  <c r="T17" i="125" s="1"/>
  <c r="N42" i="119"/>
  <c r="N77" s="1"/>
  <c r="N115" s="1"/>
  <c r="T18" i="125" s="1"/>
  <c r="P194" i="110"/>
  <c r="P112"/>
  <c r="P208" s="1"/>
  <c r="V194"/>
  <c r="V112"/>
  <c r="V208" s="1"/>
  <c r="F41" i="119"/>
  <c r="F76" s="1"/>
  <c r="F114" s="1"/>
  <c r="L17" i="125" s="1"/>
  <c r="F42" i="119"/>
  <c r="F77" s="1"/>
  <c r="F115" s="1"/>
  <c r="L18" i="125" s="1"/>
  <c r="AE194" i="110"/>
  <c r="AE112"/>
  <c r="AE208" s="1"/>
  <c r="T41" i="119"/>
  <c r="T76" s="1"/>
  <c r="T114" s="1"/>
  <c r="Z17" i="125" s="1"/>
  <c r="T42" i="119"/>
  <c r="T77" s="1"/>
  <c r="T115" s="1"/>
  <c r="Z18" i="125" s="1"/>
  <c r="AA41" i="119"/>
  <c r="Y114" s="1"/>
  <c r="AE17" i="125" s="1"/>
  <c r="X41" i="119"/>
  <c r="X76" s="1"/>
  <c r="X114" s="1"/>
  <c r="AD17" i="125" s="1"/>
  <c r="X42" i="119"/>
  <c r="X77" s="1"/>
  <c r="X115" s="1"/>
  <c r="AD18" i="125" s="1"/>
  <c r="AA42" i="119"/>
  <c r="Y115" s="1"/>
  <c r="AE18" i="125" s="1"/>
  <c r="U194" i="110"/>
  <c r="U112"/>
  <c r="U208" s="1"/>
  <c r="W41" i="119"/>
  <c r="W76" s="1"/>
  <c r="W114" s="1"/>
  <c r="AC17" i="125" s="1"/>
  <c r="W42" i="119"/>
  <c r="W77" s="1"/>
  <c r="W115" s="1"/>
  <c r="AC18" i="125" s="1"/>
  <c r="P41" i="119"/>
  <c r="P76" s="1"/>
  <c r="P114" s="1"/>
  <c r="V17" i="125" s="1"/>
  <c r="P42" i="119"/>
  <c r="P77" s="1"/>
  <c r="P115" s="1"/>
  <c r="V18" i="125" s="1"/>
  <c r="Q194" i="110"/>
  <c r="Q112"/>
  <c r="Q208" s="1"/>
  <c r="K41" i="119"/>
  <c r="K76" s="1"/>
  <c r="K114" s="1"/>
  <c r="Q17" i="125" s="1"/>
  <c r="K42" i="119"/>
  <c r="K77" s="1"/>
  <c r="K115" s="1"/>
  <c r="Q18" i="125" s="1"/>
  <c r="AD194" i="110"/>
  <c r="AD112"/>
  <c r="AD208" s="1"/>
  <c r="AG112"/>
  <c r="Y203"/>
  <c r="T203"/>
  <c r="AD203"/>
  <c r="W194"/>
  <c r="W112"/>
  <c r="W208" s="1"/>
  <c r="G41" i="119"/>
  <c r="G76" s="1"/>
  <c r="G114" s="1"/>
  <c r="M17" i="125" s="1"/>
  <c r="G42" i="119"/>
  <c r="G77" s="1"/>
  <c r="G115" s="1"/>
  <c r="M18" i="125" s="1"/>
  <c r="S41" i="119"/>
  <c r="S76" s="1"/>
  <c r="S114" s="1"/>
  <c r="Y17" i="125" s="1"/>
  <c r="S42" i="119"/>
  <c r="S77" s="1"/>
  <c r="S115" s="1"/>
  <c r="Y18" i="125" s="1"/>
  <c r="R41" i="119"/>
  <c r="R76" s="1"/>
  <c r="R114" s="1"/>
  <c r="X17" i="125" s="1"/>
  <c r="R42" i="119"/>
  <c r="R77" s="1"/>
  <c r="R115" s="1"/>
  <c r="X18" i="125" s="1"/>
  <c r="S194" i="110"/>
  <c r="S112"/>
  <c r="S208" s="1"/>
  <c r="S210" s="1"/>
  <c r="O41" i="119"/>
  <c r="O76" s="1"/>
  <c r="O114" s="1"/>
  <c r="U17" i="125" s="1"/>
  <c r="O42" i="119"/>
  <c r="O77" s="1"/>
  <c r="O115" s="1"/>
  <c r="U18" i="125" s="1"/>
  <c r="V41" i="119"/>
  <c r="V76" s="1"/>
  <c r="V114" s="1"/>
  <c r="AB17" i="125" s="1"/>
  <c r="V42" i="119"/>
  <c r="V77" s="1"/>
  <c r="V115" s="1"/>
  <c r="AB18" i="125" s="1"/>
  <c r="M41" i="119"/>
  <c r="M76" s="1"/>
  <c r="M114" s="1"/>
  <c r="S17" i="125" s="1"/>
  <c r="M42" i="119"/>
  <c r="M77" s="1"/>
  <c r="M115" s="1"/>
  <c r="S18" i="125" s="1"/>
  <c r="L41" i="119"/>
  <c r="L76" s="1"/>
  <c r="L114" s="1"/>
  <c r="R17" i="125" s="1"/>
  <c r="L42" i="119"/>
  <c r="L77" s="1"/>
  <c r="L115" s="1"/>
  <c r="R18" i="125" s="1"/>
  <c r="AF194" i="110"/>
  <c r="AF112"/>
  <c r="AF208" s="1"/>
  <c r="O194"/>
  <c r="O112"/>
  <c r="O208" s="1"/>
  <c r="H41" i="119"/>
  <c r="H76" s="1"/>
  <c r="H114" s="1"/>
  <c r="N17" i="125" s="1"/>
  <c r="H42" i="119"/>
  <c r="H77" s="1"/>
  <c r="H115" s="1"/>
  <c r="N18" i="125" s="1"/>
  <c r="J41" i="119"/>
  <c r="J76" s="1"/>
  <c r="J114" s="1"/>
  <c r="P17" i="125" s="1"/>
  <c r="J42" i="119"/>
  <c r="J77" s="1"/>
  <c r="J115" s="1"/>
  <c r="P18" i="125" s="1"/>
  <c r="T194" i="110"/>
  <c r="T112"/>
  <c r="T208" s="1"/>
  <c r="Q203"/>
  <c r="E114" i="119"/>
  <c r="E115"/>
  <c r="P203" i="110"/>
  <c r="X203"/>
  <c r="AF203"/>
  <c r="AG75"/>
  <c r="AA203"/>
  <c r="AB193"/>
  <c r="AB75"/>
  <c r="AB207" s="1"/>
  <c r="H34" i="119"/>
  <c r="H69" s="1"/>
  <c r="H107" s="1"/>
  <c r="N10" i="125" s="1"/>
  <c r="H35" i="119"/>
  <c r="H70" s="1"/>
  <c r="H108" s="1"/>
  <c r="N11" i="125" s="1"/>
  <c r="O193" i="110"/>
  <c r="O75"/>
  <c r="O207" s="1"/>
  <c r="G34" i="119"/>
  <c r="G69" s="1"/>
  <c r="G107" s="1"/>
  <c r="M10" i="125" s="1"/>
  <c r="G35" i="119"/>
  <c r="G70" s="1"/>
  <c r="G108" s="1"/>
  <c r="M11" i="125" s="1"/>
  <c r="AE193" i="110"/>
  <c r="AE75"/>
  <c r="AE207" s="1"/>
  <c r="U34" i="119"/>
  <c r="U69" s="1"/>
  <c r="U107" s="1"/>
  <c r="AA10" i="125" s="1"/>
  <c r="U35" i="119"/>
  <c r="U70" s="1"/>
  <c r="U108" s="1"/>
  <c r="AA11" i="125" s="1"/>
  <c r="P193" i="110"/>
  <c r="P75"/>
  <c r="P207" s="1"/>
  <c r="O34" i="119"/>
  <c r="O69" s="1"/>
  <c r="O107" s="1"/>
  <c r="U10" i="125" s="1"/>
  <c r="O35" i="119"/>
  <c r="O70" s="1"/>
  <c r="O108" s="1"/>
  <c r="U11" i="125" s="1"/>
  <c r="V193" i="110"/>
  <c r="V75"/>
  <c r="V207" s="1"/>
  <c r="R34" i="119"/>
  <c r="R69" s="1"/>
  <c r="R107" s="1"/>
  <c r="X10" i="125" s="1"/>
  <c r="R35" i="119"/>
  <c r="R70" s="1"/>
  <c r="R108" s="1"/>
  <c r="X11" i="125" s="1"/>
  <c r="I34" i="119"/>
  <c r="I69" s="1"/>
  <c r="I107" s="1"/>
  <c r="O10" i="125" s="1"/>
  <c r="I35" i="119"/>
  <c r="I70" s="1"/>
  <c r="I108" s="1"/>
  <c r="O11" i="125" s="1"/>
  <c r="AD193" i="110"/>
  <c r="AD75"/>
  <c r="AD207" s="1"/>
  <c r="X193"/>
  <c r="X75"/>
  <c r="X207" s="1"/>
  <c r="Q34" i="119"/>
  <c r="Q69" s="1"/>
  <c r="Q107" s="1"/>
  <c r="W10" i="125" s="1"/>
  <c r="Q35" i="119"/>
  <c r="Q70" s="1"/>
  <c r="Q108" s="1"/>
  <c r="W11" i="125" s="1"/>
  <c r="AA34" i="119"/>
  <c r="Y107" s="1"/>
  <c r="AE10" i="125" s="1"/>
  <c r="X34" i="119"/>
  <c r="X69" s="1"/>
  <c r="X107" s="1"/>
  <c r="AD10" i="125" s="1"/>
  <c r="AA35" i="119"/>
  <c r="Y108" s="1"/>
  <c r="AE11" i="125" s="1"/>
  <c r="X35" i="119"/>
  <c r="X70" s="1"/>
  <c r="X108" s="1"/>
  <c r="AD11" i="125" s="1"/>
  <c r="H22" i="119"/>
  <c r="AC193" i="110"/>
  <c r="AC75"/>
  <c r="AC207" s="1"/>
  <c r="W34" i="119"/>
  <c r="W69" s="1"/>
  <c r="W107" s="1"/>
  <c r="AC10" i="125" s="1"/>
  <c r="W35" i="119"/>
  <c r="W70" s="1"/>
  <c r="W108" s="1"/>
  <c r="AC11" i="125" s="1"/>
  <c r="M34" i="119"/>
  <c r="M69" s="1"/>
  <c r="M107" s="1"/>
  <c r="S10" i="125" s="1"/>
  <c r="M35" i="119"/>
  <c r="M70" s="1"/>
  <c r="M108" s="1"/>
  <c r="S11" i="125" s="1"/>
  <c r="Q193" i="110"/>
  <c r="Q75"/>
  <c r="Q207" s="1"/>
  <c r="AF193"/>
  <c r="AF75"/>
  <c r="AF207" s="1"/>
  <c r="AA193"/>
  <c r="AA75"/>
  <c r="AA207" s="1"/>
  <c r="S34" i="119"/>
  <c r="S69" s="1"/>
  <c r="S107" s="1"/>
  <c r="Y10" i="125" s="1"/>
  <c r="S35" i="119"/>
  <c r="S70" s="1"/>
  <c r="S108" s="1"/>
  <c r="Y11" i="125" s="1"/>
  <c r="R193" i="110"/>
  <c r="R196" s="1"/>
  <c r="R75"/>
  <c r="R207" s="1"/>
  <c r="R210" s="1"/>
  <c r="T34" i="119"/>
  <c r="T69" s="1"/>
  <c r="T107" s="1"/>
  <c r="Z10" i="125" s="1"/>
  <c r="T35" i="119"/>
  <c r="T70" s="1"/>
  <c r="T108" s="1"/>
  <c r="Z11" i="125" s="1"/>
  <c r="F34" i="119"/>
  <c r="F69" s="1"/>
  <c r="F107" s="1"/>
  <c r="L10" i="125" s="1"/>
  <c r="F35" i="119"/>
  <c r="F70" s="1"/>
  <c r="F108" s="1"/>
  <c r="L11" i="125" s="1"/>
  <c r="Z193" i="110"/>
  <c r="Z75"/>
  <c r="Z207" s="1"/>
  <c r="V34" i="119"/>
  <c r="V69" s="1"/>
  <c r="V107" s="1"/>
  <c r="AB10" i="125" s="1"/>
  <c r="V35" i="119"/>
  <c r="V70" s="1"/>
  <c r="V108" s="1"/>
  <c r="AB11" i="125" s="1"/>
  <c r="O203" i="110"/>
  <c r="AC203"/>
  <c r="AE203"/>
  <c r="M22" i="119"/>
  <c r="U22"/>
  <c r="E108"/>
  <c r="E107"/>
  <c r="N22"/>
  <c r="N27"/>
  <c r="N28"/>
  <c r="N63" s="1"/>
  <c r="N101" s="1"/>
  <c r="T4" i="125" s="1"/>
  <c r="H62" i="119"/>
  <c r="T192" i="110"/>
  <c r="T38"/>
  <c r="T206" s="1"/>
  <c r="U192"/>
  <c r="U38"/>
  <c r="U206" s="1"/>
  <c r="AB192"/>
  <c r="AB38"/>
  <c r="AB206" s="1"/>
  <c r="W192"/>
  <c r="W38"/>
  <c r="W206" s="1"/>
  <c r="P192"/>
  <c r="P38"/>
  <c r="P206" s="1"/>
  <c r="Q62" i="119"/>
  <c r="P22"/>
  <c r="P27"/>
  <c r="P28"/>
  <c r="P63" s="1"/>
  <c r="P101" s="1"/>
  <c r="V4" i="125" s="1"/>
  <c r="K22" i="119"/>
  <c r="K27"/>
  <c r="K28"/>
  <c r="K63" s="1"/>
  <c r="K101" s="1"/>
  <c r="Q4" i="125" s="1"/>
  <c r="X192" i="110"/>
  <c r="X38"/>
  <c r="X206" s="1"/>
  <c r="M62" i="119"/>
  <c r="J62"/>
  <c r="U62"/>
  <c r="S22"/>
  <c r="S27"/>
  <c r="S28"/>
  <c r="S63" s="1"/>
  <c r="S101" s="1"/>
  <c r="Y4" i="125" s="1"/>
  <c r="G22" i="119"/>
  <c r="G27"/>
  <c r="G28"/>
  <c r="G63" s="1"/>
  <c r="G101" s="1"/>
  <c r="M4" i="125" s="1"/>
  <c r="F22" i="119"/>
  <c r="F27"/>
  <c r="F28"/>
  <c r="F63" s="1"/>
  <c r="F101" s="1"/>
  <c r="L4" i="125" s="1"/>
  <c r="Y192" i="110"/>
  <c r="Y38"/>
  <c r="Y206" s="1"/>
  <c r="T22" i="119"/>
  <c r="T27"/>
  <c r="T28"/>
  <c r="T63" s="1"/>
  <c r="T101" s="1"/>
  <c r="Z4" i="125" s="1"/>
  <c r="O22" i="119"/>
  <c r="O27"/>
  <c r="O28"/>
  <c r="O63" s="1"/>
  <c r="O101" s="1"/>
  <c r="U4" i="125" s="1"/>
  <c r="AE192" i="110"/>
  <c r="AE38"/>
  <c r="AE206" s="1"/>
  <c r="X27" i="119"/>
  <c r="AA27"/>
  <c r="Y100" s="1"/>
  <c r="X22"/>
  <c r="AA28"/>
  <c r="Y101" s="1"/>
  <c r="AE4" i="125" s="1"/>
  <c r="X28" i="119"/>
  <c r="X63" s="1"/>
  <c r="X101" s="1"/>
  <c r="AD4" i="125" s="1"/>
  <c r="W27" i="119"/>
  <c r="W22"/>
  <c r="W28"/>
  <c r="W63" s="1"/>
  <c r="W101" s="1"/>
  <c r="AC4" i="125" s="1"/>
  <c r="AA192" i="110"/>
  <c r="AA38"/>
  <c r="AA206" s="1"/>
  <c r="O192"/>
  <c r="O38"/>
  <c r="O206" s="1"/>
  <c r="AC192"/>
  <c r="AC38"/>
  <c r="AC206" s="1"/>
  <c r="R22" i="119"/>
  <c r="R27"/>
  <c r="R28"/>
  <c r="R63" s="1"/>
  <c r="R101" s="1"/>
  <c r="X4" i="125" s="1"/>
  <c r="V27" i="119"/>
  <c r="V22"/>
  <c r="V28"/>
  <c r="V63" s="1"/>
  <c r="V101" s="1"/>
  <c r="AB4" i="125" s="1"/>
  <c r="AF192" i="110"/>
  <c r="AF38"/>
  <c r="AF206" s="1"/>
  <c r="L22" i="119"/>
  <c r="L27"/>
  <c r="L28"/>
  <c r="L63" s="1"/>
  <c r="L101" s="1"/>
  <c r="R4" i="125" s="1"/>
  <c r="I62" i="119"/>
  <c r="AG38" i="110"/>
  <c r="Z196" l="1"/>
  <c r="Z210"/>
  <c r="AD196"/>
  <c r="Y196"/>
  <c r="W210"/>
  <c r="U210"/>
  <c r="S196"/>
  <c r="AA84" i="119"/>
  <c r="P196" i="110"/>
  <c r="T196"/>
  <c r="Y210"/>
  <c r="Q210"/>
  <c r="AA83" i="119"/>
  <c r="V196" i="110"/>
  <c r="V210"/>
  <c r="K24" i="125"/>
  <c r="AA121" i="119"/>
  <c r="K25" i="125"/>
  <c r="AA122" i="119"/>
  <c r="U196" i="110"/>
  <c r="Q196"/>
  <c r="AA76" i="119"/>
  <c r="AB196" i="110"/>
  <c r="P210"/>
  <c r="T210"/>
  <c r="AA77" i="119"/>
  <c r="W196" i="110"/>
  <c r="AE210"/>
  <c r="AD210"/>
  <c r="K17" i="125"/>
  <c r="AA114" i="119"/>
  <c r="AF210" i="110"/>
  <c r="AA115" i="119"/>
  <c r="K18" i="125"/>
  <c r="X196" i="110"/>
  <c r="AF196"/>
  <c r="X210"/>
  <c r="AC210"/>
  <c r="AA210"/>
  <c r="AA69" i="119"/>
  <c r="AC196" i="110"/>
  <c r="AA196"/>
  <c r="AA70" i="119"/>
  <c r="O196" i="110"/>
  <c r="AB210"/>
  <c r="O210"/>
  <c r="AE196"/>
  <c r="K10" i="125"/>
  <c r="AA107" i="119"/>
  <c r="AA108"/>
  <c r="K11" i="125"/>
  <c r="O62" i="119"/>
  <c r="T62"/>
  <c r="N62"/>
  <c r="L62"/>
  <c r="X62"/>
  <c r="J100"/>
  <c r="R62"/>
  <c r="U100"/>
  <c r="M100"/>
  <c r="Q100"/>
  <c r="H100"/>
  <c r="I100"/>
  <c r="W62"/>
  <c r="V62"/>
  <c r="AE3" i="125"/>
  <c r="F62" i="119"/>
  <c r="G62"/>
  <c r="S62"/>
  <c r="K62"/>
  <c r="P62"/>
  <c r="P100" l="1"/>
  <c r="S100"/>
  <c r="F100"/>
  <c r="V100"/>
  <c r="K100"/>
  <c r="G100"/>
  <c r="W100"/>
  <c r="N3" i="125"/>
  <c r="S3"/>
  <c r="R100" i="119"/>
  <c r="X100"/>
  <c r="N100"/>
  <c r="O100"/>
  <c r="O3" i="125"/>
  <c r="W3"/>
  <c r="AA3"/>
  <c r="P3"/>
  <c r="L100" i="119"/>
  <c r="T100"/>
  <c r="T3" i="125" l="1"/>
  <c r="X3"/>
  <c r="M3"/>
  <c r="AB3"/>
  <c r="Y3"/>
  <c r="U3"/>
  <c r="AD3"/>
  <c r="AC3"/>
  <c r="Q3"/>
  <c r="L3"/>
  <c r="V3"/>
  <c r="Z3"/>
  <c r="R3"/>
  <c r="E13" i="119"/>
  <c r="N7" i="110"/>
  <c r="N36" s="1"/>
  <c r="N19"/>
  <c r="N20" s="1"/>
  <c r="N37" s="1"/>
  <c r="N199" s="1"/>
  <c r="N203" s="1"/>
  <c r="A13" i="119" l="1"/>
  <c r="E22"/>
  <c r="E27"/>
  <c r="E28"/>
  <c r="E63" s="1"/>
  <c r="N192" i="110"/>
  <c r="N196" s="1"/>
  <c r="N38"/>
  <c r="N206" s="1"/>
  <c r="N210" s="1"/>
  <c r="E62" i="119" l="1"/>
  <c r="E101"/>
  <c r="AA63"/>
  <c r="K4" i="125" l="1"/>
  <c r="AA101" i="119"/>
  <c r="E100"/>
  <c r="AA62"/>
  <c r="K3" i="125" l="1"/>
  <c r="AA100" i="119"/>
  <c r="A36" l="1"/>
  <c r="A43"/>
  <c r="A50"/>
  <c r="A37"/>
  <c r="A44"/>
  <c r="A51"/>
  <c r="A38"/>
  <c r="A45"/>
  <c r="A52"/>
  <c r="A39"/>
  <c r="A46"/>
  <c r="A53"/>
  <c r="A40"/>
  <c r="A47"/>
  <c r="A54"/>
  <c r="A33"/>
  <c r="A32"/>
  <c r="A31"/>
  <c r="A30"/>
  <c r="A29"/>
  <c r="S30" l="1"/>
  <c r="S65" s="1"/>
  <c r="S103" s="1"/>
  <c r="H30"/>
  <c r="H65" s="1"/>
  <c r="H103" s="1"/>
  <c r="K30"/>
  <c r="K65" s="1"/>
  <c r="K103" s="1"/>
  <c r="M30"/>
  <c r="M65" s="1"/>
  <c r="M103" s="1"/>
  <c r="O30"/>
  <c r="O65" s="1"/>
  <c r="O103" s="1"/>
  <c r="I30"/>
  <c r="I65" s="1"/>
  <c r="I103" s="1"/>
  <c r="N30"/>
  <c r="N65" s="1"/>
  <c r="N103" s="1"/>
  <c r="F30"/>
  <c r="F65" s="1"/>
  <c r="F103" s="1"/>
  <c r="J30"/>
  <c r="J65" s="1"/>
  <c r="J103" s="1"/>
  <c r="G30"/>
  <c r="G65" s="1"/>
  <c r="G103" s="1"/>
  <c r="U30"/>
  <c r="U65" s="1"/>
  <c r="U103" s="1"/>
  <c r="V30"/>
  <c r="V65" s="1"/>
  <c r="V103" s="1"/>
  <c r="AA30"/>
  <c r="Y103" s="1"/>
  <c r="R30"/>
  <c r="R65" s="1"/>
  <c r="R103" s="1"/>
  <c r="L30"/>
  <c r="L65" s="1"/>
  <c r="L103" s="1"/>
  <c r="W30"/>
  <c r="W65" s="1"/>
  <c r="W103" s="1"/>
  <c r="P30"/>
  <c r="P65" s="1"/>
  <c r="P103" s="1"/>
  <c r="T30"/>
  <c r="T65" s="1"/>
  <c r="T103" s="1"/>
  <c r="X30"/>
  <c r="X65" s="1"/>
  <c r="X103" s="1"/>
  <c r="Q30"/>
  <c r="Q65" s="1"/>
  <c r="Q103" s="1"/>
  <c r="E30"/>
  <c r="E65" s="1"/>
  <c r="L54"/>
  <c r="L89" s="1"/>
  <c r="L127" s="1"/>
  <c r="R30" i="125" s="1"/>
  <c r="H54" i="119"/>
  <c r="H89" s="1"/>
  <c r="H127" s="1"/>
  <c r="N30" i="125" s="1"/>
  <c r="E54" i="119"/>
  <c r="E89" s="1"/>
  <c r="T54"/>
  <c r="T89" s="1"/>
  <c r="T127" s="1"/>
  <c r="Z30" i="125" s="1"/>
  <c r="O54" i="119"/>
  <c r="O89" s="1"/>
  <c r="O127" s="1"/>
  <c r="U30" i="125" s="1"/>
  <c r="J54" i="119"/>
  <c r="J89" s="1"/>
  <c r="J127" s="1"/>
  <c r="P30" i="125" s="1"/>
  <c r="N54" i="119"/>
  <c r="N89" s="1"/>
  <c r="N127" s="1"/>
  <c r="T30" i="125" s="1"/>
  <c r="AA54" i="119"/>
  <c r="Y127" s="1"/>
  <c r="AE30" i="125" s="1"/>
  <c r="S54" i="119"/>
  <c r="S89" s="1"/>
  <c r="S127" s="1"/>
  <c r="Y30" i="125" s="1"/>
  <c r="V54" i="119"/>
  <c r="V89" s="1"/>
  <c r="V127" s="1"/>
  <c r="AB30" i="125" s="1"/>
  <c r="K54" i="119"/>
  <c r="K89" s="1"/>
  <c r="K127" s="1"/>
  <c r="Q30" i="125" s="1"/>
  <c r="I54" i="119"/>
  <c r="I89" s="1"/>
  <c r="I127" s="1"/>
  <c r="O30" i="125" s="1"/>
  <c r="P54" i="119"/>
  <c r="P89" s="1"/>
  <c r="P127" s="1"/>
  <c r="V30" i="125" s="1"/>
  <c r="F54" i="119"/>
  <c r="F89" s="1"/>
  <c r="F127" s="1"/>
  <c r="L30" i="125" s="1"/>
  <c r="Q54" i="119"/>
  <c r="Q89" s="1"/>
  <c r="Q127" s="1"/>
  <c r="W30" i="125" s="1"/>
  <c r="G54" i="119"/>
  <c r="G89" s="1"/>
  <c r="G127" s="1"/>
  <c r="M30" i="125" s="1"/>
  <c r="U54" i="119"/>
  <c r="U89" s="1"/>
  <c r="U127" s="1"/>
  <c r="AA30" i="125" s="1"/>
  <c r="X54" i="119"/>
  <c r="X89" s="1"/>
  <c r="X127" s="1"/>
  <c r="AD30" i="125" s="1"/>
  <c r="W54" i="119"/>
  <c r="W89" s="1"/>
  <c r="W127" s="1"/>
  <c r="AC30" i="125" s="1"/>
  <c r="M54" i="119"/>
  <c r="M89" s="1"/>
  <c r="M127" s="1"/>
  <c r="S30" i="125" s="1"/>
  <c r="R54" i="119"/>
  <c r="R89" s="1"/>
  <c r="R127" s="1"/>
  <c r="X30" i="125" s="1"/>
  <c r="U46" i="119"/>
  <c r="U81" s="1"/>
  <c r="U119" s="1"/>
  <c r="AA22" i="125" s="1"/>
  <c r="G46" i="119"/>
  <c r="G81" s="1"/>
  <c r="G119" s="1"/>
  <c r="M22" i="125" s="1"/>
  <c r="J46" i="119"/>
  <c r="J81" s="1"/>
  <c r="J119" s="1"/>
  <c r="P22" i="125" s="1"/>
  <c r="E46" i="119"/>
  <c r="E81" s="1"/>
  <c r="W46"/>
  <c r="W81" s="1"/>
  <c r="W119" s="1"/>
  <c r="AC22" i="125" s="1"/>
  <c r="V46" i="119"/>
  <c r="V81" s="1"/>
  <c r="V119" s="1"/>
  <c r="AB22" i="125" s="1"/>
  <c r="X46" i="119"/>
  <c r="X81" s="1"/>
  <c r="X119" s="1"/>
  <c r="AD22" i="125" s="1"/>
  <c r="K46" i="119"/>
  <c r="K81" s="1"/>
  <c r="K119" s="1"/>
  <c r="Q22" i="125" s="1"/>
  <c r="AA46" i="119"/>
  <c r="Y119" s="1"/>
  <c r="AE22" i="125" s="1"/>
  <c r="N46" i="119"/>
  <c r="N81" s="1"/>
  <c r="N119" s="1"/>
  <c r="T22" i="125" s="1"/>
  <c r="F46" i="119"/>
  <c r="F81" s="1"/>
  <c r="F119" s="1"/>
  <c r="L22" i="125" s="1"/>
  <c r="L46" i="119"/>
  <c r="L81" s="1"/>
  <c r="L119" s="1"/>
  <c r="R22" i="125" s="1"/>
  <c r="H46" i="119"/>
  <c r="H81" s="1"/>
  <c r="H119" s="1"/>
  <c r="N22" i="125" s="1"/>
  <c r="I46" i="119"/>
  <c r="I81" s="1"/>
  <c r="I119" s="1"/>
  <c r="O22" i="125" s="1"/>
  <c r="O46" i="119"/>
  <c r="O81" s="1"/>
  <c r="O119" s="1"/>
  <c r="U22" i="125" s="1"/>
  <c r="S46" i="119"/>
  <c r="S81" s="1"/>
  <c r="S119" s="1"/>
  <c r="Y22" i="125" s="1"/>
  <c r="Q46" i="119"/>
  <c r="Q81" s="1"/>
  <c r="Q119" s="1"/>
  <c r="W22" i="125" s="1"/>
  <c r="M46" i="119"/>
  <c r="M81" s="1"/>
  <c r="M119" s="1"/>
  <c r="S22" i="125" s="1"/>
  <c r="P46" i="119"/>
  <c r="P81" s="1"/>
  <c r="P119" s="1"/>
  <c r="V22" i="125" s="1"/>
  <c r="T46" i="119"/>
  <c r="T81" s="1"/>
  <c r="T119" s="1"/>
  <c r="Z22" i="125" s="1"/>
  <c r="R46" i="119"/>
  <c r="R81" s="1"/>
  <c r="R119" s="1"/>
  <c r="X22" i="125" s="1"/>
  <c r="E38" i="119"/>
  <c r="E73" s="1"/>
  <c r="S38"/>
  <c r="S73" s="1"/>
  <c r="S111" s="1"/>
  <c r="Y14" i="125" s="1"/>
  <c r="K38" i="119"/>
  <c r="K73" s="1"/>
  <c r="K111" s="1"/>
  <c r="Q14" i="125" s="1"/>
  <c r="J38" i="119"/>
  <c r="J73" s="1"/>
  <c r="J111" s="1"/>
  <c r="P14" i="125" s="1"/>
  <c r="O38" i="119"/>
  <c r="O73" s="1"/>
  <c r="O111" s="1"/>
  <c r="U14" i="125" s="1"/>
  <c r="AA38" i="119"/>
  <c r="Y111" s="1"/>
  <c r="AE14" i="125" s="1"/>
  <c r="G38" i="119"/>
  <c r="G73" s="1"/>
  <c r="G111" s="1"/>
  <c r="M14" i="125" s="1"/>
  <c r="X38" i="119"/>
  <c r="X73" s="1"/>
  <c r="X111" s="1"/>
  <c r="AD14" i="125" s="1"/>
  <c r="R38" i="119"/>
  <c r="R73" s="1"/>
  <c r="R111" s="1"/>
  <c r="X14" i="125" s="1"/>
  <c r="P38" i="119"/>
  <c r="P73" s="1"/>
  <c r="P111" s="1"/>
  <c r="V14" i="125" s="1"/>
  <c r="N38" i="119"/>
  <c r="N73" s="1"/>
  <c r="N111" s="1"/>
  <c r="T14" i="125" s="1"/>
  <c r="F38" i="119"/>
  <c r="F73" s="1"/>
  <c r="F111" s="1"/>
  <c r="L14" i="125" s="1"/>
  <c r="U38" i="119"/>
  <c r="U73" s="1"/>
  <c r="U111" s="1"/>
  <c r="AA14" i="125" s="1"/>
  <c r="T38" i="119"/>
  <c r="T73" s="1"/>
  <c r="T111" s="1"/>
  <c r="Z14" i="125" s="1"/>
  <c r="L38" i="119"/>
  <c r="L73" s="1"/>
  <c r="L111" s="1"/>
  <c r="R14" i="125" s="1"/>
  <c r="M38" i="119"/>
  <c r="M73" s="1"/>
  <c r="M111" s="1"/>
  <c r="S14" i="125" s="1"/>
  <c r="V38" i="119"/>
  <c r="V73" s="1"/>
  <c r="V111" s="1"/>
  <c r="AB14" i="125" s="1"/>
  <c r="I38" i="119"/>
  <c r="I73" s="1"/>
  <c r="I111" s="1"/>
  <c r="O14" i="125" s="1"/>
  <c r="H38" i="119"/>
  <c r="H73" s="1"/>
  <c r="H111" s="1"/>
  <c r="N14" i="125" s="1"/>
  <c r="Q38" i="119"/>
  <c r="Q73" s="1"/>
  <c r="Q111" s="1"/>
  <c r="W14" i="125" s="1"/>
  <c r="W38" i="119"/>
  <c r="W73" s="1"/>
  <c r="W111" s="1"/>
  <c r="AC14" i="125" s="1"/>
  <c r="M50" i="119"/>
  <c r="M85" s="1"/>
  <c r="M123" s="1"/>
  <c r="S26" i="125" s="1"/>
  <c r="E50" i="119"/>
  <c r="E85" s="1"/>
  <c r="I50"/>
  <c r="I85" s="1"/>
  <c r="I123" s="1"/>
  <c r="O26" i="125" s="1"/>
  <c r="O50" i="119"/>
  <c r="O85" s="1"/>
  <c r="O123" s="1"/>
  <c r="U26" i="125" s="1"/>
  <c r="W50" i="119"/>
  <c r="W85" s="1"/>
  <c r="W123" s="1"/>
  <c r="AC26" i="125" s="1"/>
  <c r="U50" i="119"/>
  <c r="U85" s="1"/>
  <c r="U123" s="1"/>
  <c r="AA26" i="125" s="1"/>
  <c r="G50" i="119"/>
  <c r="G85" s="1"/>
  <c r="G123" s="1"/>
  <c r="M26" i="125" s="1"/>
  <c r="AA50" i="119"/>
  <c r="Y123" s="1"/>
  <c r="AE26" i="125" s="1"/>
  <c r="Q50" i="119"/>
  <c r="Q85" s="1"/>
  <c r="Q123" s="1"/>
  <c r="W26" i="125" s="1"/>
  <c r="H50" i="119"/>
  <c r="H85" s="1"/>
  <c r="H123" s="1"/>
  <c r="N26" i="125" s="1"/>
  <c r="R50" i="119"/>
  <c r="R85" s="1"/>
  <c r="R123" s="1"/>
  <c r="X26" i="125" s="1"/>
  <c r="S50" i="119"/>
  <c r="S85" s="1"/>
  <c r="S123" s="1"/>
  <c r="Y26" i="125" s="1"/>
  <c r="X50" i="119"/>
  <c r="X85" s="1"/>
  <c r="X123" s="1"/>
  <c r="AD26" i="125" s="1"/>
  <c r="L50" i="119"/>
  <c r="L85" s="1"/>
  <c r="L123" s="1"/>
  <c r="R26" i="125" s="1"/>
  <c r="P50" i="119"/>
  <c r="P85" s="1"/>
  <c r="P123" s="1"/>
  <c r="V26" i="125" s="1"/>
  <c r="N50" i="119"/>
  <c r="N85" s="1"/>
  <c r="N123" s="1"/>
  <c r="T26" i="125" s="1"/>
  <c r="T50" i="119"/>
  <c r="T85" s="1"/>
  <c r="T123" s="1"/>
  <c r="Z26" i="125" s="1"/>
  <c r="V50" i="119"/>
  <c r="V85" s="1"/>
  <c r="V123" s="1"/>
  <c r="AB26" i="125" s="1"/>
  <c r="K50" i="119"/>
  <c r="K85" s="1"/>
  <c r="K123" s="1"/>
  <c r="Q26" i="125" s="1"/>
  <c r="J50" i="119"/>
  <c r="J85" s="1"/>
  <c r="J123" s="1"/>
  <c r="P26" i="125" s="1"/>
  <c r="F50" i="119"/>
  <c r="F85" s="1"/>
  <c r="F123" s="1"/>
  <c r="L26" i="125" s="1"/>
  <c r="U29" i="119"/>
  <c r="J29"/>
  <c r="I29"/>
  <c r="M29"/>
  <c r="H29"/>
  <c r="Q29"/>
  <c r="R29"/>
  <c r="V29"/>
  <c r="AA29"/>
  <c r="Y102" s="1"/>
  <c r="P29"/>
  <c r="K29"/>
  <c r="S29"/>
  <c r="G29"/>
  <c r="F29"/>
  <c r="X29"/>
  <c r="W29"/>
  <c r="L29"/>
  <c r="N29"/>
  <c r="T29"/>
  <c r="O29"/>
  <c r="E29"/>
  <c r="AA33"/>
  <c r="Y106" s="1"/>
  <c r="AE9" i="125" s="1"/>
  <c r="S33" i="119"/>
  <c r="S68" s="1"/>
  <c r="S106" s="1"/>
  <c r="Y9" i="125" s="1"/>
  <c r="U33" i="119"/>
  <c r="U68" s="1"/>
  <c r="U106" s="1"/>
  <c r="AA9" i="125" s="1"/>
  <c r="I33" i="119"/>
  <c r="I68" s="1"/>
  <c r="I106" s="1"/>
  <c r="O9" i="125" s="1"/>
  <c r="N33" i="119"/>
  <c r="N68" s="1"/>
  <c r="N106" s="1"/>
  <c r="T9" i="125" s="1"/>
  <c r="J33" i="119"/>
  <c r="J68" s="1"/>
  <c r="J106" s="1"/>
  <c r="P9" i="125" s="1"/>
  <c r="R33" i="119"/>
  <c r="R68" s="1"/>
  <c r="R106" s="1"/>
  <c r="X9" i="125" s="1"/>
  <c r="K33" i="119"/>
  <c r="K68" s="1"/>
  <c r="K106" s="1"/>
  <c r="Q9" i="125" s="1"/>
  <c r="X33" i="119"/>
  <c r="X68" s="1"/>
  <c r="X106" s="1"/>
  <c r="AD9" i="125" s="1"/>
  <c r="P33" i="119"/>
  <c r="P68" s="1"/>
  <c r="P106" s="1"/>
  <c r="V9" i="125" s="1"/>
  <c r="E33" i="119"/>
  <c r="E68" s="1"/>
  <c r="F33"/>
  <c r="F68" s="1"/>
  <c r="F106" s="1"/>
  <c r="L9" i="125" s="1"/>
  <c r="M33" i="119"/>
  <c r="M68" s="1"/>
  <c r="M106" s="1"/>
  <c r="S9" i="125" s="1"/>
  <c r="L33" i="119"/>
  <c r="L68" s="1"/>
  <c r="L106" s="1"/>
  <c r="R9" i="125" s="1"/>
  <c r="T33" i="119"/>
  <c r="T68" s="1"/>
  <c r="T106" s="1"/>
  <c r="Z9" i="125" s="1"/>
  <c r="O33" i="119"/>
  <c r="O68" s="1"/>
  <c r="O106" s="1"/>
  <c r="U9" i="125" s="1"/>
  <c r="W33" i="119"/>
  <c r="W68" s="1"/>
  <c r="W106" s="1"/>
  <c r="AC9" i="125" s="1"/>
  <c r="Q33" i="119"/>
  <c r="Q68" s="1"/>
  <c r="Q106" s="1"/>
  <c r="W9" i="125" s="1"/>
  <c r="H33" i="119"/>
  <c r="H68" s="1"/>
  <c r="H106" s="1"/>
  <c r="N9" i="125" s="1"/>
  <c r="V33" i="119"/>
  <c r="V68" s="1"/>
  <c r="V106" s="1"/>
  <c r="AB9" i="125" s="1"/>
  <c r="G33" i="119"/>
  <c r="G68" s="1"/>
  <c r="G106" s="1"/>
  <c r="M9" i="125" s="1"/>
  <c r="J53" i="119"/>
  <c r="J88" s="1"/>
  <c r="J126" s="1"/>
  <c r="P29" i="125" s="1"/>
  <c r="H53" i="119"/>
  <c r="H88" s="1"/>
  <c r="H126" s="1"/>
  <c r="N29" i="125" s="1"/>
  <c r="K53" i="119"/>
  <c r="K88" s="1"/>
  <c r="K126" s="1"/>
  <c r="Q29" i="125" s="1"/>
  <c r="R53" i="119"/>
  <c r="R88" s="1"/>
  <c r="R126" s="1"/>
  <c r="X29" i="125" s="1"/>
  <c r="I53" i="119"/>
  <c r="I88" s="1"/>
  <c r="I126" s="1"/>
  <c r="O29" i="125" s="1"/>
  <c r="F53" i="119"/>
  <c r="F88" s="1"/>
  <c r="F126" s="1"/>
  <c r="L29" i="125" s="1"/>
  <c r="N53" i="119"/>
  <c r="N88" s="1"/>
  <c r="N126" s="1"/>
  <c r="T29" i="125" s="1"/>
  <c r="V53" i="119"/>
  <c r="V88" s="1"/>
  <c r="V126" s="1"/>
  <c r="AB29" i="125" s="1"/>
  <c r="W53" i="119"/>
  <c r="W88" s="1"/>
  <c r="W126" s="1"/>
  <c r="AC29" i="125" s="1"/>
  <c r="U53" i="119"/>
  <c r="U88" s="1"/>
  <c r="U126" s="1"/>
  <c r="AA29" i="125" s="1"/>
  <c r="S53" i="119"/>
  <c r="S88" s="1"/>
  <c r="S126" s="1"/>
  <c r="Y29" i="125" s="1"/>
  <c r="O53" i="119"/>
  <c r="O88" s="1"/>
  <c r="O126" s="1"/>
  <c r="U29" i="125" s="1"/>
  <c r="L53" i="119"/>
  <c r="L88" s="1"/>
  <c r="L126" s="1"/>
  <c r="R29" i="125" s="1"/>
  <c r="AA53" i="119"/>
  <c r="Y126" s="1"/>
  <c r="AE29" i="125" s="1"/>
  <c r="X53" i="119"/>
  <c r="X88" s="1"/>
  <c r="X126" s="1"/>
  <c r="AD29" i="125" s="1"/>
  <c r="T53" i="119"/>
  <c r="T88" s="1"/>
  <c r="T126" s="1"/>
  <c r="Z29" i="125" s="1"/>
  <c r="P53" i="119"/>
  <c r="P88" s="1"/>
  <c r="P126" s="1"/>
  <c r="V29" i="125" s="1"/>
  <c r="Q53" i="119"/>
  <c r="Q88" s="1"/>
  <c r="Q126" s="1"/>
  <c r="W29" i="125" s="1"/>
  <c r="M53" i="119"/>
  <c r="M88" s="1"/>
  <c r="M126" s="1"/>
  <c r="S29" i="125" s="1"/>
  <c r="E53" i="119"/>
  <c r="E88" s="1"/>
  <c r="G53"/>
  <c r="G88" s="1"/>
  <c r="G126" s="1"/>
  <c r="M29" i="125" s="1"/>
  <c r="O45" i="119"/>
  <c r="O80" s="1"/>
  <c r="O118" s="1"/>
  <c r="U21" i="125" s="1"/>
  <c r="Q45" i="119"/>
  <c r="Q80" s="1"/>
  <c r="Q118" s="1"/>
  <c r="W21" i="125" s="1"/>
  <c r="R45" i="119"/>
  <c r="R80" s="1"/>
  <c r="R118" s="1"/>
  <c r="X21" i="125" s="1"/>
  <c r="T45" i="119"/>
  <c r="T80" s="1"/>
  <c r="T118" s="1"/>
  <c r="Z21" i="125" s="1"/>
  <c r="F45" i="119"/>
  <c r="F80" s="1"/>
  <c r="F118" s="1"/>
  <c r="L21" i="125" s="1"/>
  <c r="G45" i="119"/>
  <c r="G80" s="1"/>
  <c r="G118" s="1"/>
  <c r="M21" i="125" s="1"/>
  <c r="X45" i="119"/>
  <c r="X80" s="1"/>
  <c r="X118" s="1"/>
  <c r="AD21" i="125" s="1"/>
  <c r="E45" i="119"/>
  <c r="E80" s="1"/>
  <c r="I45"/>
  <c r="I80" s="1"/>
  <c r="I118" s="1"/>
  <c r="O21" i="125" s="1"/>
  <c r="L45" i="119"/>
  <c r="L80" s="1"/>
  <c r="L118" s="1"/>
  <c r="R21" i="125" s="1"/>
  <c r="P45" i="119"/>
  <c r="P80" s="1"/>
  <c r="P118" s="1"/>
  <c r="V21" i="125" s="1"/>
  <c r="H45" i="119"/>
  <c r="H80" s="1"/>
  <c r="H118" s="1"/>
  <c r="N21" i="125" s="1"/>
  <c r="AA45" i="119"/>
  <c r="Y118" s="1"/>
  <c r="AE21" i="125" s="1"/>
  <c r="U45" i="119"/>
  <c r="U80" s="1"/>
  <c r="U118" s="1"/>
  <c r="AA21" i="125" s="1"/>
  <c r="N45" i="119"/>
  <c r="N80" s="1"/>
  <c r="N118" s="1"/>
  <c r="T21" i="125" s="1"/>
  <c r="S45" i="119"/>
  <c r="S80" s="1"/>
  <c r="S118" s="1"/>
  <c r="Y21" i="125" s="1"/>
  <c r="J45" i="119"/>
  <c r="J80" s="1"/>
  <c r="J118" s="1"/>
  <c r="P21" i="125" s="1"/>
  <c r="M45" i="119"/>
  <c r="M80" s="1"/>
  <c r="M118" s="1"/>
  <c r="S21" i="125" s="1"/>
  <c r="W45" i="119"/>
  <c r="W80" s="1"/>
  <c r="W118" s="1"/>
  <c r="AC21" i="125" s="1"/>
  <c r="K45" i="119"/>
  <c r="K80" s="1"/>
  <c r="K118" s="1"/>
  <c r="Q21" i="125" s="1"/>
  <c r="V45" i="119"/>
  <c r="V80" s="1"/>
  <c r="V118" s="1"/>
  <c r="AB21" i="125" s="1"/>
  <c r="N37" i="119"/>
  <c r="N72" s="1"/>
  <c r="N110" s="1"/>
  <c r="T13" i="125" s="1"/>
  <c r="H37" i="119"/>
  <c r="H72" s="1"/>
  <c r="H110" s="1"/>
  <c r="N13" i="125" s="1"/>
  <c r="I37" i="119"/>
  <c r="I72" s="1"/>
  <c r="I110" s="1"/>
  <c r="O13" i="125" s="1"/>
  <c r="M37" i="119"/>
  <c r="M72" s="1"/>
  <c r="M110" s="1"/>
  <c r="S13" i="125" s="1"/>
  <c r="S37" i="119"/>
  <c r="S72" s="1"/>
  <c r="S110" s="1"/>
  <c r="Y13" i="125" s="1"/>
  <c r="G37" i="119"/>
  <c r="G72" s="1"/>
  <c r="G110" s="1"/>
  <c r="M13" i="125" s="1"/>
  <c r="T37" i="119"/>
  <c r="T72" s="1"/>
  <c r="T110" s="1"/>
  <c r="Z13" i="125" s="1"/>
  <c r="O37" i="119"/>
  <c r="O72" s="1"/>
  <c r="O110" s="1"/>
  <c r="U13" i="125" s="1"/>
  <c r="J37" i="119"/>
  <c r="J72" s="1"/>
  <c r="J110" s="1"/>
  <c r="P13" i="125" s="1"/>
  <c r="F37" i="119"/>
  <c r="F72" s="1"/>
  <c r="F110" s="1"/>
  <c r="L13" i="125" s="1"/>
  <c r="U37" i="119"/>
  <c r="U72" s="1"/>
  <c r="U110" s="1"/>
  <c r="AA13" i="125" s="1"/>
  <c r="X37" i="119"/>
  <c r="X72" s="1"/>
  <c r="X110" s="1"/>
  <c r="AD13" i="125" s="1"/>
  <c r="L37" i="119"/>
  <c r="L72" s="1"/>
  <c r="L110" s="1"/>
  <c r="R13" i="125" s="1"/>
  <c r="Q37" i="119"/>
  <c r="Q72" s="1"/>
  <c r="Q110" s="1"/>
  <c r="W13" i="125" s="1"/>
  <c r="V37" i="119"/>
  <c r="V72" s="1"/>
  <c r="V110" s="1"/>
  <c r="AB13" i="125" s="1"/>
  <c r="K37" i="119"/>
  <c r="K72" s="1"/>
  <c r="K110" s="1"/>
  <c r="Q13" i="125" s="1"/>
  <c r="W37" i="119"/>
  <c r="W72" s="1"/>
  <c r="W110" s="1"/>
  <c r="AC13" i="125" s="1"/>
  <c r="R37" i="119"/>
  <c r="R72" s="1"/>
  <c r="R110" s="1"/>
  <c r="X13" i="125" s="1"/>
  <c r="E37" i="119"/>
  <c r="E72" s="1"/>
  <c r="AA37"/>
  <c r="Y110" s="1"/>
  <c r="AE13" i="125" s="1"/>
  <c r="P37" i="119"/>
  <c r="P72" s="1"/>
  <c r="P110" s="1"/>
  <c r="V13" i="125" s="1"/>
  <c r="V32" i="119"/>
  <c r="V67" s="1"/>
  <c r="V105" s="1"/>
  <c r="AB8" i="125" s="1"/>
  <c r="P32" i="119"/>
  <c r="P67" s="1"/>
  <c r="P105" s="1"/>
  <c r="V8" i="125" s="1"/>
  <c r="T32" i="119"/>
  <c r="T67" s="1"/>
  <c r="T105" s="1"/>
  <c r="Z8" i="125" s="1"/>
  <c r="F32" i="119"/>
  <c r="F67" s="1"/>
  <c r="F105" s="1"/>
  <c r="L8" i="125" s="1"/>
  <c r="S32" i="119"/>
  <c r="S67" s="1"/>
  <c r="S105" s="1"/>
  <c r="Y8" i="125" s="1"/>
  <c r="I32" i="119"/>
  <c r="I67" s="1"/>
  <c r="I105" s="1"/>
  <c r="O8" i="125" s="1"/>
  <c r="R32" i="119"/>
  <c r="R67" s="1"/>
  <c r="R105" s="1"/>
  <c r="X8" i="125" s="1"/>
  <c r="AA32" i="119"/>
  <c r="Y105" s="1"/>
  <c r="AE8" i="125" s="1"/>
  <c r="U32" i="119"/>
  <c r="U67" s="1"/>
  <c r="U105" s="1"/>
  <c r="AA8" i="125" s="1"/>
  <c r="W32" i="119"/>
  <c r="W67" s="1"/>
  <c r="W105" s="1"/>
  <c r="AC8" i="125" s="1"/>
  <c r="J32" i="119"/>
  <c r="J67" s="1"/>
  <c r="J105" s="1"/>
  <c r="P8" i="125" s="1"/>
  <c r="N32" i="119"/>
  <c r="N67" s="1"/>
  <c r="N105" s="1"/>
  <c r="T8" i="125" s="1"/>
  <c r="E32" i="119"/>
  <c r="E67" s="1"/>
  <c r="G32"/>
  <c r="G67" s="1"/>
  <c r="G105" s="1"/>
  <c r="M8" i="125" s="1"/>
  <c r="O32" i="119"/>
  <c r="O67" s="1"/>
  <c r="O105" s="1"/>
  <c r="U8" i="125" s="1"/>
  <c r="X32" i="119"/>
  <c r="X67" s="1"/>
  <c r="X105" s="1"/>
  <c r="AD8" i="125" s="1"/>
  <c r="H32" i="119"/>
  <c r="H67" s="1"/>
  <c r="H105" s="1"/>
  <c r="N8" i="125" s="1"/>
  <c r="Q32" i="119"/>
  <c r="Q67" s="1"/>
  <c r="Q105" s="1"/>
  <c r="W8" i="125" s="1"/>
  <c r="L32" i="119"/>
  <c r="L67" s="1"/>
  <c r="L105" s="1"/>
  <c r="R8" i="125" s="1"/>
  <c r="K32" i="119"/>
  <c r="K67" s="1"/>
  <c r="K105" s="1"/>
  <c r="Q8" i="125" s="1"/>
  <c r="M32" i="119"/>
  <c r="M67" s="1"/>
  <c r="M105" s="1"/>
  <c r="S8" i="125" s="1"/>
  <c r="W40" i="119"/>
  <c r="W75" s="1"/>
  <c r="W113" s="1"/>
  <c r="AC16" i="125" s="1"/>
  <c r="K40" i="119"/>
  <c r="K75" s="1"/>
  <c r="K113" s="1"/>
  <c r="Q16" i="125" s="1"/>
  <c r="X40" i="119"/>
  <c r="X75" s="1"/>
  <c r="X113" s="1"/>
  <c r="AD16" i="125" s="1"/>
  <c r="Q40" i="119"/>
  <c r="Q75" s="1"/>
  <c r="Q113" s="1"/>
  <c r="W16" i="125" s="1"/>
  <c r="P40" i="119"/>
  <c r="P75" s="1"/>
  <c r="P113" s="1"/>
  <c r="V16" i="125" s="1"/>
  <c r="U40" i="119"/>
  <c r="U75" s="1"/>
  <c r="U113" s="1"/>
  <c r="AA16" i="125" s="1"/>
  <c r="F40" i="119"/>
  <c r="F75" s="1"/>
  <c r="F113" s="1"/>
  <c r="L16" i="125" s="1"/>
  <c r="J40" i="119"/>
  <c r="J75" s="1"/>
  <c r="J113" s="1"/>
  <c r="P16" i="125" s="1"/>
  <c r="AA40" i="119"/>
  <c r="Y113" s="1"/>
  <c r="AE16" i="125" s="1"/>
  <c r="G40" i="119"/>
  <c r="G75" s="1"/>
  <c r="G113" s="1"/>
  <c r="M16" i="125" s="1"/>
  <c r="I40" i="119"/>
  <c r="I75" s="1"/>
  <c r="I113" s="1"/>
  <c r="O16" i="125" s="1"/>
  <c r="L40" i="119"/>
  <c r="L75" s="1"/>
  <c r="L113" s="1"/>
  <c r="R16" i="125" s="1"/>
  <c r="T40" i="119"/>
  <c r="T75" s="1"/>
  <c r="T113" s="1"/>
  <c r="Z16" i="125" s="1"/>
  <c r="N40" i="119"/>
  <c r="N75" s="1"/>
  <c r="N113" s="1"/>
  <c r="T16" i="125" s="1"/>
  <c r="M40" i="119"/>
  <c r="M75" s="1"/>
  <c r="M113" s="1"/>
  <c r="S16" i="125" s="1"/>
  <c r="R40" i="119"/>
  <c r="R75" s="1"/>
  <c r="R113" s="1"/>
  <c r="X16" i="125" s="1"/>
  <c r="O40" i="119"/>
  <c r="O75" s="1"/>
  <c r="O113" s="1"/>
  <c r="U16" i="125" s="1"/>
  <c r="H40" i="119"/>
  <c r="H75" s="1"/>
  <c r="H113" s="1"/>
  <c r="N16" i="125" s="1"/>
  <c r="V40" i="119"/>
  <c r="V75" s="1"/>
  <c r="V113" s="1"/>
  <c r="AB16" i="125" s="1"/>
  <c r="E40" i="119"/>
  <c r="E75" s="1"/>
  <c r="S40"/>
  <c r="S75" s="1"/>
  <c r="S113" s="1"/>
  <c r="Y16" i="125" s="1"/>
  <c r="E52" i="119"/>
  <c r="E87" s="1"/>
  <c r="H52"/>
  <c r="H87" s="1"/>
  <c r="H125" s="1"/>
  <c r="N28" i="125" s="1"/>
  <c r="O52" i="119"/>
  <c r="O87" s="1"/>
  <c r="O125" s="1"/>
  <c r="U28" i="125" s="1"/>
  <c r="M52" i="119"/>
  <c r="M87" s="1"/>
  <c r="M125" s="1"/>
  <c r="S28" i="125" s="1"/>
  <c r="G52" i="119"/>
  <c r="G87" s="1"/>
  <c r="G125" s="1"/>
  <c r="M28" i="125" s="1"/>
  <c r="V52" i="119"/>
  <c r="V87" s="1"/>
  <c r="V125" s="1"/>
  <c r="AB28" i="125" s="1"/>
  <c r="I52" i="119"/>
  <c r="I87" s="1"/>
  <c r="I125" s="1"/>
  <c r="O28" i="125" s="1"/>
  <c r="K52" i="119"/>
  <c r="K87" s="1"/>
  <c r="K125" s="1"/>
  <c r="Q28" i="125" s="1"/>
  <c r="F52" i="119"/>
  <c r="F87" s="1"/>
  <c r="F125" s="1"/>
  <c r="L28" i="125" s="1"/>
  <c r="J52" i="119"/>
  <c r="J87" s="1"/>
  <c r="J125" s="1"/>
  <c r="P28" i="125" s="1"/>
  <c r="L52" i="119"/>
  <c r="L87" s="1"/>
  <c r="L125" s="1"/>
  <c r="R28" i="125" s="1"/>
  <c r="AA52" i="119"/>
  <c r="Y125" s="1"/>
  <c r="AE28" i="125" s="1"/>
  <c r="N52" i="119"/>
  <c r="N87" s="1"/>
  <c r="N125" s="1"/>
  <c r="T28" i="125" s="1"/>
  <c r="X52" i="119"/>
  <c r="X87" s="1"/>
  <c r="X125" s="1"/>
  <c r="AD28" i="125" s="1"/>
  <c r="T52" i="119"/>
  <c r="T87" s="1"/>
  <c r="T125" s="1"/>
  <c r="Z28" i="125" s="1"/>
  <c r="R52" i="119"/>
  <c r="R87" s="1"/>
  <c r="R125" s="1"/>
  <c r="X28" i="125" s="1"/>
  <c r="U52" i="119"/>
  <c r="U87" s="1"/>
  <c r="U125" s="1"/>
  <c r="AA28" i="125" s="1"/>
  <c r="Q52" i="119"/>
  <c r="Q87" s="1"/>
  <c r="Q125" s="1"/>
  <c r="W28" i="125" s="1"/>
  <c r="P52" i="119"/>
  <c r="P87" s="1"/>
  <c r="P125" s="1"/>
  <c r="V28" i="125" s="1"/>
  <c r="W52" i="119"/>
  <c r="W87" s="1"/>
  <c r="W125" s="1"/>
  <c r="AC28" i="125" s="1"/>
  <c r="S52" i="119"/>
  <c r="S87" s="1"/>
  <c r="S125" s="1"/>
  <c r="Y28" i="125" s="1"/>
  <c r="F44" i="119"/>
  <c r="F79" s="1"/>
  <c r="F117" s="1"/>
  <c r="L20" i="125" s="1"/>
  <c r="N44" i="119"/>
  <c r="N79" s="1"/>
  <c r="N117" s="1"/>
  <c r="T20" i="125" s="1"/>
  <c r="Q44" i="119"/>
  <c r="Q79" s="1"/>
  <c r="Q117" s="1"/>
  <c r="W20" i="125" s="1"/>
  <c r="G44" i="119"/>
  <c r="G79" s="1"/>
  <c r="G117" s="1"/>
  <c r="M20" i="125" s="1"/>
  <c r="J44" i="119"/>
  <c r="J79" s="1"/>
  <c r="J117" s="1"/>
  <c r="P20" i="125" s="1"/>
  <c r="H44" i="119"/>
  <c r="H79" s="1"/>
  <c r="H117" s="1"/>
  <c r="N20" i="125" s="1"/>
  <c r="T44" i="119"/>
  <c r="T79" s="1"/>
  <c r="T117" s="1"/>
  <c r="Z20" i="125" s="1"/>
  <c r="R44" i="119"/>
  <c r="R79" s="1"/>
  <c r="R117" s="1"/>
  <c r="X20" i="125" s="1"/>
  <c r="S44" i="119"/>
  <c r="S79" s="1"/>
  <c r="S117" s="1"/>
  <c r="Y20" i="125" s="1"/>
  <c r="E44" i="119"/>
  <c r="E79" s="1"/>
  <c r="P44"/>
  <c r="P79" s="1"/>
  <c r="P117" s="1"/>
  <c r="V20" i="125" s="1"/>
  <c r="X44" i="119"/>
  <c r="X79" s="1"/>
  <c r="X117" s="1"/>
  <c r="AD20" i="125" s="1"/>
  <c r="L44" i="119"/>
  <c r="L79" s="1"/>
  <c r="L117" s="1"/>
  <c r="R20" i="125" s="1"/>
  <c r="I44" i="119"/>
  <c r="I79" s="1"/>
  <c r="I117" s="1"/>
  <c r="O20" i="125" s="1"/>
  <c r="M44" i="119"/>
  <c r="M79" s="1"/>
  <c r="M117" s="1"/>
  <c r="S20" i="125" s="1"/>
  <c r="K44" i="119"/>
  <c r="K79" s="1"/>
  <c r="K117" s="1"/>
  <c r="Q20" i="125" s="1"/>
  <c r="O44" i="119"/>
  <c r="O79" s="1"/>
  <c r="O117" s="1"/>
  <c r="U20" i="125" s="1"/>
  <c r="U44" i="119"/>
  <c r="U79" s="1"/>
  <c r="U117" s="1"/>
  <c r="AA20" i="125" s="1"/>
  <c r="W44" i="119"/>
  <c r="W79" s="1"/>
  <c r="W117" s="1"/>
  <c r="AC20" i="125" s="1"/>
  <c r="AA44" i="119"/>
  <c r="Y117" s="1"/>
  <c r="AE20" i="125" s="1"/>
  <c r="V44" i="119"/>
  <c r="V79" s="1"/>
  <c r="V117" s="1"/>
  <c r="AB20" i="125" s="1"/>
  <c r="L36" i="119"/>
  <c r="L71" s="1"/>
  <c r="L109" s="1"/>
  <c r="R12" i="125" s="1"/>
  <c r="P36" i="119"/>
  <c r="P71" s="1"/>
  <c r="P109" s="1"/>
  <c r="V12" i="125" s="1"/>
  <c r="J36" i="119"/>
  <c r="J71" s="1"/>
  <c r="J109" s="1"/>
  <c r="P12" i="125" s="1"/>
  <c r="N36" i="119"/>
  <c r="N71" s="1"/>
  <c r="N109" s="1"/>
  <c r="T12" i="125" s="1"/>
  <c r="E36" i="119"/>
  <c r="E71" s="1"/>
  <c r="K36"/>
  <c r="K71" s="1"/>
  <c r="K109" s="1"/>
  <c r="Q12" i="125" s="1"/>
  <c r="U36" i="119"/>
  <c r="U71" s="1"/>
  <c r="U109" s="1"/>
  <c r="AA12" i="125" s="1"/>
  <c r="Q36" i="119"/>
  <c r="Q71" s="1"/>
  <c r="Q109" s="1"/>
  <c r="W12" i="125" s="1"/>
  <c r="W36" i="119"/>
  <c r="W71" s="1"/>
  <c r="W109" s="1"/>
  <c r="AC12" i="125" s="1"/>
  <c r="S36" i="119"/>
  <c r="S71" s="1"/>
  <c r="S109" s="1"/>
  <c r="Y12" i="125" s="1"/>
  <c r="F36" i="119"/>
  <c r="F71" s="1"/>
  <c r="F109" s="1"/>
  <c r="L12" i="125" s="1"/>
  <c r="I36" i="119"/>
  <c r="I71" s="1"/>
  <c r="I109" s="1"/>
  <c r="O12" i="125" s="1"/>
  <c r="G36" i="119"/>
  <c r="G71" s="1"/>
  <c r="G109" s="1"/>
  <c r="M12" i="125" s="1"/>
  <c r="M36" i="119"/>
  <c r="M71" s="1"/>
  <c r="M109" s="1"/>
  <c r="S12" i="125" s="1"/>
  <c r="T36" i="119"/>
  <c r="T71" s="1"/>
  <c r="T109" s="1"/>
  <c r="Z12" i="125" s="1"/>
  <c r="V36" i="119"/>
  <c r="V71" s="1"/>
  <c r="V109" s="1"/>
  <c r="AB12" i="125" s="1"/>
  <c r="H36" i="119"/>
  <c r="H71" s="1"/>
  <c r="H109" s="1"/>
  <c r="N12" i="125" s="1"/>
  <c r="R36" i="119"/>
  <c r="R71" s="1"/>
  <c r="R109" s="1"/>
  <c r="X12" i="125" s="1"/>
  <c r="AA36" i="119"/>
  <c r="Y109" s="1"/>
  <c r="AE12" i="125" s="1"/>
  <c r="O36" i="119"/>
  <c r="O71" s="1"/>
  <c r="O109" s="1"/>
  <c r="U12" i="125" s="1"/>
  <c r="X36" i="119"/>
  <c r="X71" s="1"/>
  <c r="X109" s="1"/>
  <c r="AD12" i="125" s="1"/>
  <c r="G31" i="119"/>
  <c r="G66" s="1"/>
  <c r="G104" s="1"/>
  <c r="M7" i="125" s="1"/>
  <c r="J31" i="119"/>
  <c r="J66" s="1"/>
  <c r="J104" s="1"/>
  <c r="P7" i="125" s="1"/>
  <c r="M31" i="119"/>
  <c r="M66" s="1"/>
  <c r="M104" s="1"/>
  <c r="S7" i="125" s="1"/>
  <c r="H31" i="119"/>
  <c r="H66" s="1"/>
  <c r="H104" s="1"/>
  <c r="N7" i="125" s="1"/>
  <c r="L31" i="119"/>
  <c r="L66" s="1"/>
  <c r="L104" s="1"/>
  <c r="R7" i="125" s="1"/>
  <c r="N31" i="119"/>
  <c r="N66" s="1"/>
  <c r="N104" s="1"/>
  <c r="T7" i="125" s="1"/>
  <c r="T31" i="119"/>
  <c r="T66" s="1"/>
  <c r="T104" s="1"/>
  <c r="Z7" i="125" s="1"/>
  <c r="F31" i="119"/>
  <c r="F66" s="1"/>
  <c r="F104" s="1"/>
  <c r="L7" i="125" s="1"/>
  <c r="R31" i="119"/>
  <c r="R66" s="1"/>
  <c r="R104" s="1"/>
  <c r="X7" i="125" s="1"/>
  <c r="P31" i="119"/>
  <c r="P66" s="1"/>
  <c r="P104" s="1"/>
  <c r="V7" i="125" s="1"/>
  <c r="I31" i="119"/>
  <c r="I66" s="1"/>
  <c r="I104" s="1"/>
  <c r="O7" i="125" s="1"/>
  <c r="AA31" i="119"/>
  <c r="Y104" s="1"/>
  <c r="AE7" i="125" s="1"/>
  <c r="Q31" i="119"/>
  <c r="Q66" s="1"/>
  <c r="Q104" s="1"/>
  <c r="W7" i="125" s="1"/>
  <c r="K31" i="119"/>
  <c r="K66" s="1"/>
  <c r="K104" s="1"/>
  <c r="Q7" i="125" s="1"/>
  <c r="V31" i="119"/>
  <c r="V66" s="1"/>
  <c r="V104" s="1"/>
  <c r="AB7" i="125" s="1"/>
  <c r="W31" i="119"/>
  <c r="W66" s="1"/>
  <c r="W104" s="1"/>
  <c r="AC7" i="125" s="1"/>
  <c r="S31" i="119"/>
  <c r="S66" s="1"/>
  <c r="S104" s="1"/>
  <c r="Y7" i="125" s="1"/>
  <c r="U31" i="119"/>
  <c r="U66" s="1"/>
  <c r="U104" s="1"/>
  <c r="AA7" i="125" s="1"/>
  <c r="X31" i="119"/>
  <c r="X66" s="1"/>
  <c r="X104" s="1"/>
  <c r="AD7" i="125" s="1"/>
  <c r="O31" i="119"/>
  <c r="O66" s="1"/>
  <c r="O104" s="1"/>
  <c r="U7" i="125" s="1"/>
  <c r="E31" i="119"/>
  <c r="E66" s="1"/>
  <c r="I47"/>
  <c r="I82" s="1"/>
  <c r="I120" s="1"/>
  <c r="O23" i="125" s="1"/>
  <c r="R47" i="119"/>
  <c r="R82" s="1"/>
  <c r="R120" s="1"/>
  <c r="X23" i="125" s="1"/>
  <c r="P47" i="119"/>
  <c r="P82" s="1"/>
  <c r="P120" s="1"/>
  <c r="V23" i="125" s="1"/>
  <c r="K47" i="119"/>
  <c r="K82" s="1"/>
  <c r="K120" s="1"/>
  <c r="Q23" i="125" s="1"/>
  <c r="L47" i="119"/>
  <c r="L82" s="1"/>
  <c r="L120" s="1"/>
  <c r="R23" i="125" s="1"/>
  <c r="F47" i="119"/>
  <c r="F82" s="1"/>
  <c r="F120" s="1"/>
  <c r="L23" i="125" s="1"/>
  <c r="Q47" i="119"/>
  <c r="Q82" s="1"/>
  <c r="Q120" s="1"/>
  <c r="W23" i="125" s="1"/>
  <c r="V47" i="119"/>
  <c r="V82" s="1"/>
  <c r="V120" s="1"/>
  <c r="AB23" i="125" s="1"/>
  <c r="S47" i="119"/>
  <c r="S82" s="1"/>
  <c r="S120" s="1"/>
  <c r="Y23" i="125" s="1"/>
  <c r="T47" i="119"/>
  <c r="T82" s="1"/>
  <c r="T120" s="1"/>
  <c r="Z23" i="125" s="1"/>
  <c r="W47" i="119"/>
  <c r="W82" s="1"/>
  <c r="W120" s="1"/>
  <c r="AC23" i="125" s="1"/>
  <c r="U47" i="119"/>
  <c r="U82" s="1"/>
  <c r="U120" s="1"/>
  <c r="AA23" i="125" s="1"/>
  <c r="E47" i="119"/>
  <c r="E82" s="1"/>
  <c r="O47"/>
  <c r="O82" s="1"/>
  <c r="O120" s="1"/>
  <c r="U23" i="125" s="1"/>
  <c r="G47" i="119"/>
  <c r="G82" s="1"/>
  <c r="G120" s="1"/>
  <c r="M23" i="125" s="1"/>
  <c r="N47" i="119"/>
  <c r="N82" s="1"/>
  <c r="N120" s="1"/>
  <c r="T23" i="125" s="1"/>
  <c r="AA47" i="119"/>
  <c r="Y120" s="1"/>
  <c r="AE23" i="125" s="1"/>
  <c r="H47" i="119"/>
  <c r="H82" s="1"/>
  <c r="H120" s="1"/>
  <c r="N23" i="125" s="1"/>
  <c r="J47" i="119"/>
  <c r="J82" s="1"/>
  <c r="J120" s="1"/>
  <c r="P23" i="125" s="1"/>
  <c r="X47" i="119"/>
  <c r="X82" s="1"/>
  <c r="X120" s="1"/>
  <c r="AD23" i="125" s="1"/>
  <c r="M47" i="119"/>
  <c r="M82" s="1"/>
  <c r="M120" s="1"/>
  <c r="S23" i="125" s="1"/>
  <c r="O39" i="119"/>
  <c r="O74" s="1"/>
  <c r="O112" s="1"/>
  <c r="U15" i="125" s="1"/>
  <c r="Q39" i="119"/>
  <c r="Q74" s="1"/>
  <c r="Q112" s="1"/>
  <c r="W15" i="125" s="1"/>
  <c r="G39" i="119"/>
  <c r="G74" s="1"/>
  <c r="G112" s="1"/>
  <c r="M15" i="125" s="1"/>
  <c r="J39" i="119"/>
  <c r="J74" s="1"/>
  <c r="J112" s="1"/>
  <c r="P15" i="125" s="1"/>
  <c r="K39" i="119"/>
  <c r="K74" s="1"/>
  <c r="K112" s="1"/>
  <c r="Q15" i="125" s="1"/>
  <c r="F39" i="119"/>
  <c r="F74" s="1"/>
  <c r="F112" s="1"/>
  <c r="L15" i="125" s="1"/>
  <c r="V39" i="119"/>
  <c r="V74" s="1"/>
  <c r="V112" s="1"/>
  <c r="AB15" i="125" s="1"/>
  <c r="I39" i="119"/>
  <c r="I74" s="1"/>
  <c r="I112" s="1"/>
  <c r="O15" i="125" s="1"/>
  <c r="L39" i="119"/>
  <c r="L74" s="1"/>
  <c r="L112" s="1"/>
  <c r="R15" i="125" s="1"/>
  <c r="R39" i="119"/>
  <c r="R74" s="1"/>
  <c r="R112" s="1"/>
  <c r="X15" i="125" s="1"/>
  <c r="T39" i="119"/>
  <c r="T74" s="1"/>
  <c r="T112" s="1"/>
  <c r="Z15" i="125" s="1"/>
  <c r="E39" i="119"/>
  <c r="E74" s="1"/>
  <c r="X39"/>
  <c r="X74" s="1"/>
  <c r="X112" s="1"/>
  <c r="AD15" i="125" s="1"/>
  <c r="W39" i="119"/>
  <c r="W74" s="1"/>
  <c r="W112" s="1"/>
  <c r="AC15" i="125" s="1"/>
  <c r="M39" i="119"/>
  <c r="M74" s="1"/>
  <c r="M112" s="1"/>
  <c r="S15" i="125" s="1"/>
  <c r="P39" i="119"/>
  <c r="P74" s="1"/>
  <c r="P112" s="1"/>
  <c r="V15" i="125" s="1"/>
  <c r="N39" i="119"/>
  <c r="N74" s="1"/>
  <c r="N112" s="1"/>
  <c r="T15" i="125" s="1"/>
  <c r="H39" i="119"/>
  <c r="H74" s="1"/>
  <c r="H112" s="1"/>
  <c r="N15" i="125" s="1"/>
  <c r="U39" i="119"/>
  <c r="U74" s="1"/>
  <c r="U112" s="1"/>
  <c r="AA15" i="125" s="1"/>
  <c r="S39" i="119"/>
  <c r="S74" s="1"/>
  <c r="S112" s="1"/>
  <c r="Y15" i="125" s="1"/>
  <c r="AA39" i="119"/>
  <c r="Y112" s="1"/>
  <c r="AE15" i="125" s="1"/>
  <c r="J51" i="119"/>
  <c r="J86" s="1"/>
  <c r="J124" s="1"/>
  <c r="P27" i="125" s="1"/>
  <c r="S51" i="119"/>
  <c r="S86" s="1"/>
  <c r="S124" s="1"/>
  <c r="Y27" i="125" s="1"/>
  <c r="O51" i="119"/>
  <c r="O86" s="1"/>
  <c r="O124" s="1"/>
  <c r="U27" i="125" s="1"/>
  <c r="N51" i="119"/>
  <c r="N86" s="1"/>
  <c r="N124" s="1"/>
  <c r="T27" i="125" s="1"/>
  <c r="F51" i="119"/>
  <c r="F86" s="1"/>
  <c r="F124" s="1"/>
  <c r="L27" i="125" s="1"/>
  <c r="H51" i="119"/>
  <c r="H86" s="1"/>
  <c r="H124" s="1"/>
  <c r="N27" i="125" s="1"/>
  <c r="E51" i="119"/>
  <c r="E86" s="1"/>
  <c r="X51"/>
  <c r="X86" s="1"/>
  <c r="X124" s="1"/>
  <c r="AD27" i="125" s="1"/>
  <c r="T51" i="119"/>
  <c r="T86" s="1"/>
  <c r="T124" s="1"/>
  <c r="Z27" i="125" s="1"/>
  <c r="G51" i="119"/>
  <c r="G86" s="1"/>
  <c r="G124" s="1"/>
  <c r="M27" i="125" s="1"/>
  <c r="W51" i="119"/>
  <c r="W86" s="1"/>
  <c r="W124" s="1"/>
  <c r="AC27" i="125" s="1"/>
  <c r="K51" i="119"/>
  <c r="K86" s="1"/>
  <c r="K124" s="1"/>
  <c r="Q27" i="125" s="1"/>
  <c r="P51" i="119"/>
  <c r="P86" s="1"/>
  <c r="P124" s="1"/>
  <c r="V27" i="125" s="1"/>
  <c r="L51" i="119"/>
  <c r="L86" s="1"/>
  <c r="L124" s="1"/>
  <c r="R27" i="125" s="1"/>
  <c r="M51" i="119"/>
  <c r="M86" s="1"/>
  <c r="M124" s="1"/>
  <c r="S27" i="125" s="1"/>
  <c r="V51" i="119"/>
  <c r="V86" s="1"/>
  <c r="V124" s="1"/>
  <c r="AB27" i="125" s="1"/>
  <c r="I51" i="119"/>
  <c r="I86" s="1"/>
  <c r="I124" s="1"/>
  <c r="O27" i="125" s="1"/>
  <c r="R51" i="119"/>
  <c r="R86" s="1"/>
  <c r="R124" s="1"/>
  <c r="X27" i="125" s="1"/>
  <c r="Q51" i="119"/>
  <c r="Q86" s="1"/>
  <c r="Q124" s="1"/>
  <c r="W27" i="125" s="1"/>
  <c r="U51" i="119"/>
  <c r="U86" s="1"/>
  <c r="U124" s="1"/>
  <c r="AA27" i="125" s="1"/>
  <c r="AA51" i="119"/>
  <c r="Y124" s="1"/>
  <c r="AE27" i="125" s="1"/>
  <c r="E43" i="119"/>
  <c r="E78" s="1"/>
  <c r="Q43"/>
  <c r="Q78" s="1"/>
  <c r="Q116" s="1"/>
  <c r="W19" i="125" s="1"/>
  <c r="I43" i="119"/>
  <c r="I78" s="1"/>
  <c r="I116" s="1"/>
  <c r="O19" i="125" s="1"/>
  <c r="AA43" i="119"/>
  <c r="Y116" s="1"/>
  <c r="AE19" i="125" s="1"/>
  <c r="P43" i="119"/>
  <c r="P78" s="1"/>
  <c r="P116" s="1"/>
  <c r="V19" i="125" s="1"/>
  <c r="G43" i="119"/>
  <c r="G78" s="1"/>
  <c r="G116" s="1"/>
  <c r="M19" i="125" s="1"/>
  <c r="L43" i="119"/>
  <c r="L78" s="1"/>
  <c r="L116" s="1"/>
  <c r="R19" i="125" s="1"/>
  <c r="X43" i="119"/>
  <c r="X78" s="1"/>
  <c r="X116" s="1"/>
  <c r="AD19" i="125" s="1"/>
  <c r="S43" i="119"/>
  <c r="S78" s="1"/>
  <c r="S116" s="1"/>
  <c r="Y19" i="125" s="1"/>
  <c r="O43" i="119"/>
  <c r="O78" s="1"/>
  <c r="O116" s="1"/>
  <c r="U19" i="125" s="1"/>
  <c r="H43" i="119"/>
  <c r="H78" s="1"/>
  <c r="H116" s="1"/>
  <c r="N19" i="125" s="1"/>
  <c r="M43" i="119"/>
  <c r="M78" s="1"/>
  <c r="M116" s="1"/>
  <c r="S19" i="125" s="1"/>
  <c r="N43" i="119"/>
  <c r="N78" s="1"/>
  <c r="N116" s="1"/>
  <c r="T19" i="125" s="1"/>
  <c r="T43" i="119"/>
  <c r="T78" s="1"/>
  <c r="T116" s="1"/>
  <c r="Z19" i="125" s="1"/>
  <c r="R43" i="119"/>
  <c r="R78" s="1"/>
  <c r="R116" s="1"/>
  <c r="X19" i="125" s="1"/>
  <c r="V43" i="119"/>
  <c r="V78" s="1"/>
  <c r="V116" s="1"/>
  <c r="AB19" i="125" s="1"/>
  <c r="J43" i="119"/>
  <c r="J78" s="1"/>
  <c r="J116" s="1"/>
  <c r="P19" i="125" s="1"/>
  <c r="U43" i="119"/>
  <c r="U78" s="1"/>
  <c r="U116" s="1"/>
  <c r="AA19" i="125" s="1"/>
  <c r="F43" i="119"/>
  <c r="F78" s="1"/>
  <c r="F116" s="1"/>
  <c r="L19" i="125" s="1"/>
  <c r="W43" i="119"/>
  <c r="W78" s="1"/>
  <c r="W116" s="1"/>
  <c r="AC19" i="125" s="1"/>
  <c r="K43" i="119"/>
  <c r="K78" s="1"/>
  <c r="K116" s="1"/>
  <c r="Q19" i="125" s="1"/>
  <c r="AA82" i="119" l="1"/>
  <c r="E120"/>
  <c r="E125"/>
  <c r="AA87"/>
  <c r="E106"/>
  <c r="AA68"/>
  <c r="O64"/>
  <c r="O57"/>
  <c r="W64"/>
  <c r="W57"/>
  <c r="S64"/>
  <c r="S57"/>
  <c r="V64"/>
  <c r="V57"/>
  <c r="M64"/>
  <c r="M57"/>
  <c r="E103"/>
  <c r="AA65"/>
  <c r="V6" i="125"/>
  <c r="P138" i="119"/>
  <c r="P175" s="1"/>
  <c r="AE6" i="125"/>
  <c r="Y138" i="119"/>
  <c r="Y175" s="1"/>
  <c r="P6" i="125"/>
  <c r="J138" i="119"/>
  <c r="J175" s="1"/>
  <c r="U6" i="125"/>
  <c r="O138" i="119"/>
  <c r="O175" s="1"/>
  <c r="Y6" i="125"/>
  <c r="S138" i="119"/>
  <c r="S175" s="1"/>
  <c r="E112"/>
  <c r="AA74"/>
  <c r="E64"/>
  <c r="E57"/>
  <c r="L64"/>
  <c r="L57"/>
  <c r="G64"/>
  <c r="G57"/>
  <c r="AE5" i="125"/>
  <c r="Y164" i="119"/>
  <c r="Y140"/>
  <c r="Y156"/>
  <c r="Y143"/>
  <c r="Y154"/>
  <c r="Y163"/>
  <c r="Y145"/>
  <c r="Y168"/>
  <c r="Y166"/>
  <c r="Y155"/>
  <c r="Y149"/>
  <c r="Y162"/>
  <c r="Y151"/>
  <c r="Y152"/>
  <c r="Y141"/>
  <c r="Y144"/>
  <c r="Y181" s="1"/>
  <c r="Y146"/>
  <c r="Y167"/>
  <c r="Y157"/>
  <c r="Y194" s="1"/>
  <c r="Y165"/>
  <c r="Y159"/>
  <c r="Y160"/>
  <c r="Y139"/>
  <c r="Y150"/>
  <c r="Y130"/>
  <c r="Y158"/>
  <c r="Y161"/>
  <c r="Y147"/>
  <c r="Y153"/>
  <c r="Y169"/>
  <c r="Y142"/>
  <c r="Y179" s="1"/>
  <c r="Y148"/>
  <c r="H64"/>
  <c r="H57"/>
  <c r="U64"/>
  <c r="U57"/>
  <c r="E123"/>
  <c r="AA85"/>
  <c r="AA81"/>
  <c r="E119"/>
  <c r="Z6" i="125"/>
  <c r="T138" i="119"/>
  <c r="T175" s="1"/>
  <c r="X6" i="125"/>
  <c r="R138" i="119"/>
  <c r="R175" s="1"/>
  <c r="M6" i="125"/>
  <c r="G138" i="119"/>
  <c r="G175" s="1"/>
  <c r="O6" i="125"/>
  <c r="I138" i="119"/>
  <c r="I175" s="1"/>
  <c r="N6" i="125"/>
  <c r="H138" i="119"/>
  <c r="H175" s="1"/>
  <c r="E109"/>
  <c r="AA71"/>
  <c r="E117"/>
  <c r="AA79"/>
  <c r="AA75"/>
  <c r="E113"/>
  <c r="E105"/>
  <c r="AA67"/>
  <c r="AA88"/>
  <c r="E126"/>
  <c r="N64"/>
  <c r="N57"/>
  <c r="F64"/>
  <c r="F57"/>
  <c r="P64"/>
  <c r="P57"/>
  <c r="Q64"/>
  <c r="Q57"/>
  <c r="J64"/>
  <c r="J57"/>
  <c r="AD6" i="125"/>
  <c r="X138" i="119"/>
  <c r="X175" s="1"/>
  <c r="R6" i="125"/>
  <c r="L138" i="119"/>
  <c r="L175" s="1"/>
  <c r="AA6" i="125"/>
  <c r="U138" i="119"/>
  <c r="U175" s="1"/>
  <c r="T6" i="125"/>
  <c r="N138" i="119"/>
  <c r="N175" s="1"/>
  <c r="Q6" i="125"/>
  <c r="K138" i="119"/>
  <c r="K175" s="1"/>
  <c r="AA86"/>
  <c r="E124"/>
  <c r="E116"/>
  <c r="AA78"/>
  <c r="AA66"/>
  <c r="E104"/>
  <c r="E110"/>
  <c r="AA72"/>
  <c r="E118"/>
  <c r="AA80"/>
  <c r="T64"/>
  <c r="T57"/>
  <c r="X64"/>
  <c r="X57"/>
  <c r="K64"/>
  <c r="K57"/>
  <c r="R64"/>
  <c r="R57"/>
  <c r="I64"/>
  <c r="I57"/>
  <c r="E111"/>
  <c r="AA73"/>
  <c r="E127"/>
  <c r="AA89"/>
  <c r="W6" i="125"/>
  <c r="Q138" i="119"/>
  <c r="Q175" s="1"/>
  <c r="AC6" i="125"/>
  <c r="W138" i="119"/>
  <c r="W175" s="1"/>
  <c r="AB6" i="125"/>
  <c r="V138" i="119"/>
  <c r="V175" s="1"/>
  <c r="L6" i="125"/>
  <c r="F138" i="119"/>
  <c r="F175" s="1"/>
  <c r="S6" i="125"/>
  <c r="M138" i="119"/>
  <c r="M175" s="1"/>
  <c r="Y185" l="1"/>
  <c r="Y190"/>
  <c r="Y187"/>
  <c r="Y183"/>
  <c r="Y195"/>
  <c r="Y184"/>
  <c r="Y202"/>
  <c r="Y198"/>
  <c r="Y178"/>
  <c r="Y206"/>
  <c r="Y204"/>
  <c r="Y176"/>
  <c r="Y192"/>
  <c r="AA126"/>
  <c r="K29" i="125"/>
  <c r="AA113" i="119"/>
  <c r="K16" i="125"/>
  <c r="AA119" i="119"/>
  <c r="K22" i="125"/>
  <c r="L102" i="119"/>
  <c r="L93"/>
  <c r="AA112"/>
  <c r="K15" i="125"/>
  <c r="AA103" i="119"/>
  <c r="K6" i="125"/>
  <c r="E138" i="119"/>
  <c r="E175" s="1"/>
  <c r="V102"/>
  <c r="V93"/>
  <c r="W102"/>
  <c r="W93"/>
  <c r="K9" i="125"/>
  <c r="AA106" i="119"/>
  <c r="Y199"/>
  <c r="Y205"/>
  <c r="Y180"/>
  <c r="K14" i="125"/>
  <c r="AA111" i="119"/>
  <c r="R102"/>
  <c r="R93"/>
  <c r="X102"/>
  <c r="X93"/>
  <c r="AA118"/>
  <c r="K21" i="125"/>
  <c r="J102" i="119"/>
  <c r="J93"/>
  <c r="P102"/>
  <c r="P93"/>
  <c r="N102"/>
  <c r="N93"/>
  <c r="AA105"/>
  <c r="AD103" s="1"/>
  <c r="K8" i="125"/>
  <c r="K20"/>
  <c r="AA117" i="119"/>
  <c r="AA123"/>
  <c r="K26" i="125"/>
  <c r="H102" i="119"/>
  <c r="H93"/>
  <c r="K23" i="125"/>
  <c r="AA120" i="119"/>
  <c r="Y196"/>
  <c r="Y188"/>
  <c r="Y203"/>
  <c r="Y191"/>
  <c r="Y201"/>
  <c r="K27" i="125"/>
  <c r="AA124" i="119"/>
  <c r="G102"/>
  <c r="G93"/>
  <c r="E102"/>
  <c r="AA64"/>
  <c r="E93"/>
  <c r="M102"/>
  <c r="M93"/>
  <c r="S102"/>
  <c r="S93"/>
  <c r="O102"/>
  <c r="O93"/>
  <c r="K28" i="125"/>
  <c r="AA125" i="119"/>
  <c r="Y197"/>
  <c r="Y189"/>
  <c r="Y200"/>
  <c r="Y177"/>
  <c r="K7" i="125"/>
  <c r="AA104" i="119"/>
  <c r="AA127"/>
  <c r="K30" i="125"/>
  <c r="I102" i="119"/>
  <c r="I93"/>
  <c r="K102"/>
  <c r="K93"/>
  <c r="T102"/>
  <c r="T93"/>
  <c r="AA110"/>
  <c r="K13" i="125"/>
  <c r="AA116" i="119"/>
  <c r="K19" i="125"/>
  <c r="Q102" i="119"/>
  <c r="Q93"/>
  <c r="F102"/>
  <c r="F93"/>
  <c r="K12" i="125"/>
  <c r="AA109" i="119"/>
  <c r="U102"/>
  <c r="U93"/>
  <c r="Y186"/>
  <c r="Y182"/>
  <c r="Y193"/>
  <c r="AA57"/>
  <c r="AD105" l="1"/>
  <c r="Y208"/>
  <c r="AA5" i="125"/>
  <c r="U153" i="119"/>
  <c r="U166"/>
  <c r="U145"/>
  <c r="U155"/>
  <c r="U146"/>
  <c r="U156"/>
  <c r="U144"/>
  <c r="U154"/>
  <c r="U164"/>
  <c r="U139"/>
  <c r="U176" s="1"/>
  <c r="U147"/>
  <c r="U148"/>
  <c r="U160"/>
  <c r="U158"/>
  <c r="U142"/>
  <c r="U157"/>
  <c r="U140"/>
  <c r="U168"/>
  <c r="U143"/>
  <c r="U162"/>
  <c r="U141"/>
  <c r="U178" s="1"/>
  <c r="U159"/>
  <c r="U196" s="1"/>
  <c r="U167"/>
  <c r="U151"/>
  <c r="U161"/>
  <c r="U198" s="1"/>
  <c r="U149"/>
  <c r="U152"/>
  <c r="U165"/>
  <c r="U163"/>
  <c r="U130"/>
  <c r="U150"/>
  <c r="U169"/>
  <c r="S5" i="125"/>
  <c r="M146" i="119"/>
  <c r="M158"/>
  <c r="M155"/>
  <c r="M168"/>
  <c r="M161"/>
  <c r="M142"/>
  <c r="M156"/>
  <c r="M130"/>
  <c r="M148"/>
  <c r="M150"/>
  <c r="M165"/>
  <c r="M169"/>
  <c r="M206" s="1"/>
  <c r="M144"/>
  <c r="M154"/>
  <c r="M160"/>
  <c r="M141"/>
  <c r="M164"/>
  <c r="M167"/>
  <c r="M166"/>
  <c r="M203" s="1"/>
  <c r="M140"/>
  <c r="M163"/>
  <c r="M143"/>
  <c r="M180" s="1"/>
  <c r="M149"/>
  <c r="M151"/>
  <c r="M162"/>
  <c r="M199" s="1"/>
  <c r="M145"/>
  <c r="M159"/>
  <c r="M157"/>
  <c r="M153"/>
  <c r="M147"/>
  <c r="M139"/>
  <c r="M176" s="1"/>
  <c r="M152"/>
  <c r="M189" s="1"/>
  <c r="N5" i="125"/>
  <c r="H141" i="119"/>
  <c r="H150"/>
  <c r="H144"/>
  <c r="H165"/>
  <c r="H163"/>
  <c r="H162"/>
  <c r="H167"/>
  <c r="H169"/>
  <c r="H142"/>
  <c r="H179" s="1"/>
  <c r="H164"/>
  <c r="H156"/>
  <c r="H151"/>
  <c r="H161"/>
  <c r="H158"/>
  <c r="H147"/>
  <c r="H154"/>
  <c r="H153"/>
  <c r="H139"/>
  <c r="H176" s="1"/>
  <c r="H130"/>
  <c r="H140"/>
  <c r="H160"/>
  <c r="H143"/>
  <c r="H146"/>
  <c r="H166"/>
  <c r="H203" s="1"/>
  <c r="H149"/>
  <c r="H168"/>
  <c r="H155"/>
  <c r="H159"/>
  <c r="H148"/>
  <c r="H152"/>
  <c r="H145"/>
  <c r="H182" s="1"/>
  <c r="H157"/>
  <c r="T5" i="125"/>
  <c r="N158" i="119"/>
  <c r="N149"/>
  <c r="N166"/>
  <c r="N141"/>
  <c r="N155"/>
  <c r="N154"/>
  <c r="N146"/>
  <c r="N167"/>
  <c r="N162"/>
  <c r="N163"/>
  <c r="N143"/>
  <c r="N159"/>
  <c r="N160"/>
  <c r="N144"/>
  <c r="N140"/>
  <c r="N169"/>
  <c r="N168"/>
  <c r="N139"/>
  <c r="N176" s="1"/>
  <c r="N152"/>
  <c r="N157"/>
  <c r="N161"/>
  <c r="N147"/>
  <c r="N164"/>
  <c r="N145"/>
  <c r="N151"/>
  <c r="N130"/>
  <c r="N150"/>
  <c r="N148"/>
  <c r="N165"/>
  <c r="N153"/>
  <c r="N142"/>
  <c r="N156"/>
  <c r="P5" i="125"/>
  <c r="J155" i="119"/>
  <c r="J141"/>
  <c r="J168"/>
  <c r="J157"/>
  <c r="J144"/>
  <c r="J162"/>
  <c r="J160"/>
  <c r="J146"/>
  <c r="J130"/>
  <c r="J152"/>
  <c r="J156"/>
  <c r="J166"/>
  <c r="J139"/>
  <c r="J176" s="1"/>
  <c r="J151"/>
  <c r="J165"/>
  <c r="J164"/>
  <c r="J150"/>
  <c r="J148"/>
  <c r="J154"/>
  <c r="J167"/>
  <c r="J204" s="1"/>
  <c r="J161"/>
  <c r="J140"/>
  <c r="J163"/>
  <c r="J145"/>
  <c r="J159"/>
  <c r="J149"/>
  <c r="J153"/>
  <c r="J142"/>
  <c r="J143"/>
  <c r="J169"/>
  <c r="J158"/>
  <c r="J147"/>
  <c r="J184" s="1"/>
  <c r="AD5" i="125"/>
  <c r="X149" i="119"/>
  <c r="X143"/>
  <c r="X164"/>
  <c r="X158"/>
  <c r="X154"/>
  <c r="X166"/>
  <c r="X155"/>
  <c r="X157"/>
  <c r="X153"/>
  <c r="X142"/>
  <c r="X147"/>
  <c r="X140"/>
  <c r="X144"/>
  <c r="X130"/>
  <c r="X141"/>
  <c r="X165"/>
  <c r="X146"/>
  <c r="X167"/>
  <c r="X204" s="1"/>
  <c r="X159"/>
  <c r="X150"/>
  <c r="X163"/>
  <c r="X162"/>
  <c r="X169"/>
  <c r="X161"/>
  <c r="X151"/>
  <c r="X152"/>
  <c r="X168"/>
  <c r="X160"/>
  <c r="X145"/>
  <c r="X182" s="1"/>
  <c r="X139"/>
  <c r="X176" s="1"/>
  <c r="X148"/>
  <c r="X185" s="1"/>
  <c r="X156"/>
  <c r="L5" i="125"/>
  <c r="F141" i="119"/>
  <c r="F149"/>
  <c r="F148"/>
  <c r="F162"/>
  <c r="F147"/>
  <c r="F156"/>
  <c r="F158"/>
  <c r="F150"/>
  <c r="F130"/>
  <c r="F144"/>
  <c r="F151"/>
  <c r="F167"/>
  <c r="F143"/>
  <c r="F161"/>
  <c r="F165"/>
  <c r="F168"/>
  <c r="F152"/>
  <c r="F145"/>
  <c r="F160"/>
  <c r="F159"/>
  <c r="F166"/>
  <c r="F140"/>
  <c r="F142"/>
  <c r="F157"/>
  <c r="F139"/>
  <c r="F176" s="1"/>
  <c r="F164"/>
  <c r="F155"/>
  <c r="F163"/>
  <c r="F200" s="1"/>
  <c r="F169"/>
  <c r="F154"/>
  <c r="F153"/>
  <c r="F146"/>
  <c r="U5" i="125"/>
  <c r="O167" i="119"/>
  <c r="O145"/>
  <c r="O149"/>
  <c r="O169"/>
  <c r="O143"/>
  <c r="O153"/>
  <c r="O168"/>
  <c r="O130"/>
  <c r="O142"/>
  <c r="O158"/>
  <c r="O166"/>
  <c r="O144"/>
  <c r="O147"/>
  <c r="O146"/>
  <c r="O183" s="1"/>
  <c r="O160"/>
  <c r="O159"/>
  <c r="O156"/>
  <c r="O163"/>
  <c r="O154"/>
  <c r="O165"/>
  <c r="O140"/>
  <c r="O150"/>
  <c r="O162"/>
  <c r="O157"/>
  <c r="O141"/>
  <c r="O148"/>
  <c r="O164"/>
  <c r="O155"/>
  <c r="O161"/>
  <c r="O139"/>
  <c r="O176" s="1"/>
  <c r="O151"/>
  <c r="O152"/>
  <c r="AA102"/>
  <c r="AD104" s="1"/>
  <c r="K5" i="125"/>
  <c r="E161" i="119"/>
  <c r="E165"/>
  <c r="E140"/>
  <c r="E142"/>
  <c r="E168"/>
  <c r="E139"/>
  <c r="E176" s="1"/>
  <c r="E152"/>
  <c r="E169"/>
  <c r="E167"/>
  <c r="E154"/>
  <c r="E155"/>
  <c r="E160"/>
  <c r="E164"/>
  <c r="E157"/>
  <c r="E145"/>
  <c r="E156"/>
  <c r="E144"/>
  <c r="E162"/>
  <c r="E149"/>
  <c r="E150"/>
  <c r="E147"/>
  <c r="E148"/>
  <c r="E153"/>
  <c r="E190" s="1"/>
  <c r="E151"/>
  <c r="E141"/>
  <c r="E130"/>
  <c r="E163"/>
  <c r="E158"/>
  <c r="E159"/>
  <c r="E166"/>
  <c r="E203" s="1"/>
  <c r="E146"/>
  <c r="E183" s="1"/>
  <c r="E143"/>
  <c r="E180" s="1"/>
  <c r="AB5" i="125"/>
  <c r="V150" i="119"/>
  <c r="V145"/>
  <c r="V158"/>
  <c r="V169"/>
  <c r="V165"/>
  <c r="V153"/>
  <c r="V144"/>
  <c r="V140"/>
  <c r="V160"/>
  <c r="V148"/>
  <c r="V162"/>
  <c r="V142"/>
  <c r="V167"/>
  <c r="V164"/>
  <c r="V157"/>
  <c r="V163"/>
  <c r="V149"/>
  <c r="V139"/>
  <c r="V176" s="1"/>
  <c r="V156"/>
  <c r="V146"/>
  <c r="V152"/>
  <c r="V166"/>
  <c r="V147"/>
  <c r="V130"/>
  <c r="V143"/>
  <c r="V161"/>
  <c r="V159"/>
  <c r="V196" s="1"/>
  <c r="V154"/>
  <c r="V141"/>
  <c r="V168"/>
  <c r="V155"/>
  <c r="V151"/>
  <c r="O5" i="125"/>
  <c r="I160" i="119"/>
  <c r="I162"/>
  <c r="I146"/>
  <c r="I153"/>
  <c r="I148"/>
  <c r="I150"/>
  <c r="I143"/>
  <c r="I144"/>
  <c r="I139"/>
  <c r="I176" s="1"/>
  <c r="I142"/>
  <c r="I140"/>
  <c r="I161"/>
  <c r="I141"/>
  <c r="I145"/>
  <c r="I166"/>
  <c r="I159"/>
  <c r="I167"/>
  <c r="I151"/>
  <c r="I188" s="1"/>
  <c r="I155"/>
  <c r="I149"/>
  <c r="I130"/>
  <c r="I164"/>
  <c r="I152"/>
  <c r="I163"/>
  <c r="I154"/>
  <c r="I169"/>
  <c r="I165"/>
  <c r="I147"/>
  <c r="I156"/>
  <c r="I158"/>
  <c r="I157"/>
  <c r="I168"/>
  <c r="W5" i="125"/>
  <c r="Q145" i="119"/>
  <c r="Q163"/>
  <c r="Q160"/>
  <c r="Q151"/>
  <c r="Q159"/>
  <c r="Q144"/>
  <c r="Q167"/>
  <c r="Q161"/>
  <c r="Q165"/>
  <c r="Q156"/>
  <c r="Q146"/>
  <c r="Q147"/>
  <c r="Q158"/>
  <c r="Q166"/>
  <c r="Q143"/>
  <c r="Q155"/>
  <c r="Q153"/>
  <c r="Q130"/>
  <c r="Q140"/>
  <c r="Q139"/>
  <c r="Q176" s="1"/>
  <c r="Q169"/>
  <c r="Q148"/>
  <c r="Q162"/>
  <c r="Q164"/>
  <c r="Q168"/>
  <c r="Q157"/>
  <c r="Q194" s="1"/>
  <c r="Q152"/>
  <c r="Q142"/>
  <c r="Q149"/>
  <c r="Q154"/>
  <c r="Q150"/>
  <c r="Q141"/>
  <c r="X5" i="125"/>
  <c r="R167" i="119"/>
  <c r="R160"/>
  <c r="R149"/>
  <c r="R153"/>
  <c r="R155"/>
  <c r="R145"/>
  <c r="R140"/>
  <c r="R168"/>
  <c r="R139"/>
  <c r="R176" s="1"/>
  <c r="R141"/>
  <c r="R144"/>
  <c r="R158"/>
  <c r="R163"/>
  <c r="R159"/>
  <c r="R147"/>
  <c r="R164"/>
  <c r="R154"/>
  <c r="R156"/>
  <c r="R143"/>
  <c r="R152"/>
  <c r="R130"/>
  <c r="R161"/>
  <c r="R142"/>
  <c r="R146"/>
  <c r="R150"/>
  <c r="R151"/>
  <c r="R157"/>
  <c r="R166"/>
  <c r="R162"/>
  <c r="R169"/>
  <c r="R148"/>
  <c r="R185" s="1"/>
  <c r="R165"/>
  <c r="R202" s="1"/>
  <c r="R5" i="125"/>
  <c r="L164" i="119"/>
  <c r="L167"/>
  <c r="L148"/>
  <c r="L144"/>
  <c r="L150"/>
  <c r="L139"/>
  <c r="L176" s="1"/>
  <c r="L169"/>
  <c r="L162"/>
  <c r="L160"/>
  <c r="L140"/>
  <c r="L166"/>
  <c r="L163"/>
  <c r="L147"/>
  <c r="L156"/>
  <c r="L158"/>
  <c r="L152"/>
  <c r="L130"/>
  <c r="L145"/>
  <c r="L165"/>
  <c r="L159"/>
  <c r="L154"/>
  <c r="L149"/>
  <c r="L168"/>
  <c r="L141"/>
  <c r="L151"/>
  <c r="L188" s="1"/>
  <c r="L155"/>
  <c r="L157"/>
  <c r="L153"/>
  <c r="L161"/>
  <c r="L198" s="1"/>
  <c r="L142"/>
  <c r="L143"/>
  <c r="L146"/>
  <c r="AD102"/>
  <c r="Z5" i="125"/>
  <c r="T168" i="119"/>
  <c r="T157"/>
  <c r="T163"/>
  <c r="T164"/>
  <c r="T166"/>
  <c r="T154"/>
  <c r="T142"/>
  <c r="T159"/>
  <c r="T155"/>
  <c r="T145"/>
  <c r="T158"/>
  <c r="T160"/>
  <c r="T143"/>
  <c r="T162"/>
  <c r="T144"/>
  <c r="T167"/>
  <c r="T169"/>
  <c r="T206" s="1"/>
  <c r="T156"/>
  <c r="T149"/>
  <c r="T139"/>
  <c r="T176" s="1"/>
  <c r="T161"/>
  <c r="T146"/>
  <c r="T183" s="1"/>
  <c r="T130"/>
  <c r="T150"/>
  <c r="T148"/>
  <c r="T165"/>
  <c r="T141"/>
  <c r="T153"/>
  <c r="T140"/>
  <c r="T147"/>
  <c r="T184" s="1"/>
  <c r="T152"/>
  <c r="T151"/>
  <c r="T188" s="1"/>
  <c r="Q5" i="125"/>
  <c r="K166" i="119"/>
  <c r="K140"/>
  <c r="K164"/>
  <c r="K143"/>
  <c r="K169"/>
  <c r="K153"/>
  <c r="K142"/>
  <c r="K146"/>
  <c r="K154"/>
  <c r="K158"/>
  <c r="K144"/>
  <c r="K155"/>
  <c r="K130"/>
  <c r="K139"/>
  <c r="K176" s="1"/>
  <c r="K161"/>
  <c r="K150"/>
  <c r="K151"/>
  <c r="K157"/>
  <c r="K165"/>
  <c r="K202" s="1"/>
  <c r="K168"/>
  <c r="K159"/>
  <c r="K162"/>
  <c r="K148"/>
  <c r="K152"/>
  <c r="K141"/>
  <c r="K167"/>
  <c r="K145"/>
  <c r="K182" s="1"/>
  <c r="K163"/>
  <c r="K149"/>
  <c r="K160"/>
  <c r="K156"/>
  <c r="K147"/>
  <c r="K184" s="1"/>
  <c r="Y5" i="125"/>
  <c r="S168" i="119"/>
  <c r="S153"/>
  <c r="S147"/>
  <c r="S159"/>
  <c r="S148"/>
  <c r="S141"/>
  <c r="S145"/>
  <c r="S162"/>
  <c r="S169"/>
  <c r="S155"/>
  <c r="S139"/>
  <c r="S176" s="1"/>
  <c r="S163"/>
  <c r="S167"/>
  <c r="S149"/>
  <c r="S140"/>
  <c r="S130"/>
  <c r="S164"/>
  <c r="S143"/>
  <c r="S158"/>
  <c r="S160"/>
  <c r="S197" s="1"/>
  <c r="S154"/>
  <c r="S156"/>
  <c r="S193" s="1"/>
  <c r="S144"/>
  <c r="S152"/>
  <c r="S151"/>
  <c r="S142"/>
  <c r="S179" s="1"/>
  <c r="S161"/>
  <c r="S157"/>
  <c r="S146"/>
  <c r="S165"/>
  <c r="S150"/>
  <c r="S166"/>
  <c r="V5" i="125"/>
  <c r="P146" i="119"/>
  <c r="P158"/>
  <c r="P156"/>
  <c r="P143"/>
  <c r="P145"/>
  <c r="P152"/>
  <c r="P142"/>
  <c r="P144"/>
  <c r="P164"/>
  <c r="P166"/>
  <c r="P154"/>
  <c r="P149"/>
  <c r="P167"/>
  <c r="P169"/>
  <c r="P151"/>
  <c r="P141"/>
  <c r="P159"/>
  <c r="P148"/>
  <c r="P150"/>
  <c r="P153"/>
  <c r="P163"/>
  <c r="P168"/>
  <c r="P139"/>
  <c r="P176" s="1"/>
  <c r="P160"/>
  <c r="P130"/>
  <c r="P140"/>
  <c r="P155"/>
  <c r="P192" s="1"/>
  <c r="P157"/>
  <c r="P161"/>
  <c r="P147"/>
  <c r="P165"/>
  <c r="P162"/>
  <c r="M5" i="125"/>
  <c r="G153" i="119"/>
  <c r="G158"/>
  <c r="G130"/>
  <c r="G139"/>
  <c r="G176" s="1"/>
  <c r="G161"/>
  <c r="G147"/>
  <c r="G148"/>
  <c r="G150"/>
  <c r="G154"/>
  <c r="G191" s="1"/>
  <c r="G168"/>
  <c r="G169"/>
  <c r="G167"/>
  <c r="G162"/>
  <c r="G199" s="1"/>
  <c r="G144"/>
  <c r="G145"/>
  <c r="G164"/>
  <c r="G159"/>
  <c r="G142"/>
  <c r="G143"/>
  <c r="G165"/>
  <c r="G157"/>
  <c r="G166"/>
  <c r="G160"/>
  <c r="G141"/>
  <c r="G151"/>
  <c r="G152"/>
  <c r="G149"/>
  <c r="G186" s="1"/>
  <c r="G146"/>
  <c r="G156"/>
  <c r="G155"/>
  <c r="G163"/>
  <c r="G140"/>
  <c r="G177" s="1"/>
  <c r="AC5" i="125"/>
  <c r="W158" i="119"/>
  <c r="W165"/>
  <c r="W168"/>
  <c r="W140"/>
  <c r="W155"/>
  <c r="W164"/>
  <c r="W141"/>
  <c r="W150"/>
  <c r="W153"/>
  <c r="W147"/>
  <c r="W139"/>
  <c r="W176" s="1"/>
  <c r="W148"/>
  <c r="W152"/>
  <c r="W144"/>
  <c r="W160"/>
  <c r="W143"/>
  <c r="W167"/>
  <c r="W154"/>
  <c r="W166"/>
  <c r="W163"/>
  <c r="W146"/>
  <c r="W151"/>
  <c r="W162"/>
  <c r="W161"/>
  <c r="W169"/>
  <c r="W159"/>
  <c r="W130"/>
  <c r="W142"/>
  <c r="W157"/>
  <c r="W149"/>
  <c r="W145"/>
  <c r="W156"/>
  <c r="AA93"/>
  <c r="F205" l="1"/>
  <c r="L177"/>
  <c r="E188"/>
  <c r="J186"/>
  <c r="R198"/>
  <c r="J177"/>
  <c r="J188"/>
  <c r="J199"/>
  <c r="N187"/>
  <c r="N201"/>
  <c r="N177"/>
  <c r="H194"/>
  <c r="L190"/>
  <c r="O178"/>
  <c r="E198"/>
  <c r="O188"/>
  <c r="O201"/>
  <c r="O191"/>
  <c r="F196"/>
  <c r="X188"/>
  <c r="V200"/>
  <c r="E196"/>
  <c r="E181"/>
  <c r="U191"/>
  <c r="S177"/>
  <c r="U180"/>
  <c r="M190"/>
  <c r="L200"/>
  <c r="P181"/>
  <c r="G202"/>
  <c r="T197"/>
  <c r="F182"/>
  <c r="N198"/>
  <c r="M193"/>
  <c r="S200"/>
  <c r="I189"/>
  <c r="I180"/>
  <c r="U184"/>
  <c r="X196"/>
  <c r="X178"/>
  <c r="J182"/>
  <c r="H205"/>
  <c r="Q191"/>
  <c r="Q203"/>
  <c r="I202"/>
  <c r="S206"/>
  <c r="R191"/>
  <c r="N192"/>
  <c r="U202"/>
  <c r="P187"/>
  <c r="K178"/>
  <c r="K196"/>
  <c r="K191"/>
  <c r="R199"/>
  <c r="V188"/>
  <c r="V191"/>
  <c r="V183"/>
  <c r="E178"/>
  <c r="X181"/>
  <c r="J206"/>
  <c r="N179"/>
  <c r="H196"/>
  <c r="H191"/>
  <c r="H188"/>
  <c r="U186"/>
  <c r="U205"/>
  <c r="U195"/>
  <c r="U193"/>
  <c r="M194"/>
  <c r="U200"/>
  <c r="W179"/>
  <c r="W200"/>
  <c r="G188"/>
  <c r="W206"/>
  <c r="W183"/>
  <c r="W204"/>
  <c r="G192"/>
  <c r="G203"/>
  <c r="G179"/>
  <c r="G205"/>
  <c r="G184"/>
  <c r="P202"/>
  <c r="S203"/>
  <c r="S194"/>
  <c r="K186"/>
  <c r="K203"/>
  <c r="T202"/>
  <c r="L183"/>
  <c r="L178"/>
  <c r="R187"/>
  <c r="Q185"/>
  <c r="Q193"/>
  <c r="I194"/>
  <c r="W186"/>
  <c r="W188"/>
  <c r="P199"/>
  <c r="P197"/>
  <c r="P190"/>
  <c r="S183"/>
  <c r="S191"/>
  <c r="K199"/>
  <c r="R206"/>
  <c r="R196"/>
  <c r="Q187"/>
  <c r="Q189"/>
  <c r="Q199"/>
  <c r="Q183"/>
  <c r="Q197"/>
  <c r="I200"/>
  <c r="E194"/>
  <c r="O196"/>
  <c r="F203"/>
  <c r="F189"/>
  <c r="F180"/>
  <c r="X199"/>
  <c r="X203"/>
  <c r="J195"/>
  <c r="J193"/>
  <c r="N193"/>
  <c r="N185"/>
  <c r="N182"/>
  <c r="H185"/>
  <c r="W198"/>
  <c r="W177"/>
  <c r="I184"/>
  <c r="F206"/>
  <c r="J200"/>
  <c r="M184"/>
  <c r="M182"/>
  <c r="U204"/>
  <c r="X205"/>
  <c r="X184"/>
  <c r="X192"/>
  <c r="J179"/>
  <c r="J201"/>
  <c r="J203"/>
  <c r="J194"/>
  <c r="N202"/>
  <c r="N188"/>
  <c r="N205"/>
  <c r="N197"/>
  <c r="H189"/>
  <c r="H180"/>
  <c r="H201"/>
  <c r="H199"/>
  <c r="M196"/>
  <c r="M186"/>
  <c r="M202"/>
  <c r="U206"/>
  <c r="U194"/>
  <c r="U185"/>
  <c r="J190"/>
  <c r="W185"/>
  <c r="P184"/>
  <c r="P205"/>
  <c r="S187"/>
  <c r="S181"/>
  <c r="K200"/>
  <c r="K205"/>
  <c r="K180"/>
  <c r="T177"/>
  <c r="T198"/>
  <c r="T180"/>
  <c r="L180"/>
  <c r="L194"/>
  <c r="L205"/>
  <c r="L202"/>
  <c r="R183"/>
  <c r="Q205"/>
  <c r="F179"/>
  <c r="M188"/>
  <c r="U177"/>
  <c r="U183"/>
  <c r="W196"/>
  <c r="W191"/>
  <c r="G180"/>
  <c r="G182"/>
  <c r="G206"/>
  <c r="G185"/>
  <c r="P194"/>
  <c r="P180"/>
  <c r="S201"/>
  <c r="K197"/>
  <c r="K204"/>
  <c r="K194"/>
  <c r="T189"/>
  <c r="T195"/>
  <c r="L187"/>
  <c r="R188"/>
  <c r="R193"/>
  <c r="R178"/>
  <c r="R182"/>
  <c r="Q177"/>
  <c r="Q180"/>
  <c r="I205"/>
  <c r="I186"/>
  <c r="I198"/>
  <c r="I181"/>
  <c r="V178"/>
  <c r="V180"/>
  <c r="V186"/>
  <c r="V204"/>
  <c r="V202"/>
  <c r="E185"/>
  <c r="E199"/>
  <c r="E191"/>
  <c r="O189"/>
  <c r="O192"/>
  <c r="O194"/>
  <c r="O181"/>
  <c r="O206"/>
  <c r="F178"/>
  <c r="W193"/>
  <c r="G193"/>
  <c r="G196"/>
  <c r="G198"/>
  <c r="P177"/>
  <c r="P189"/>
  <c r="S198"/>
  <c r="S195"/>
  <c r="K189"/>
  <c r="K192"/>
  <c r="K183"/>
  <c r="T185"/>
  <c r="T192"/>
  <c r="T205"/>
  <c r="R201"/>
  <c r="R195"/>
  <c r="R205"/>
  <c r="Q186"/>
  <c r="Q202"/>
  <c r="I179"/>
  <c r="V199"/>
  <c r="E187"/>
  <c r="E193"/>
  <c r="O185"/>
  <c r="O187"/>
  <c r="F192"/>
  <c r="F197"/>
  <c r="F202"/>
  <c r="F188"/>
  <c r="T191"/>
  <c r="I192"/>
  <c r="I177"/>
  <c r="V177"/>
  <c r="V206"/>
  <c r="E184"/>
  <c r="E201"/>
  <c r="O199"/>
  <c r="O205"/>
  <c r="F183"/>
  <c r="F194"/>
  <c r="F187"/>
  <c r="F199"/>
  <c r="X200"/>
  <c r="E132"/>
  <c r="F132" s="1"/>
  <c r="G132" s="1"/>
  <c r="H132" s="1"/>
  <c r="I132" s="1"/>
  <c r="J132" s="1"/>
  <c r="K132" s="1"/>
  <c r="L132" s="1"/>
  <c r="M132" s="1"/>
  <c r="N132" s="1"/>
  <c r="O132" s="1"/>
  <c r="P132" s="1"/>
  <c r="Q132" s="1"/>
  <c r="R132" s="1"/>
  <c r="S132" s="1"/>
  <c r="T132" s="1"/>
  <c r="U132" s="1"/>
  <c r="V132" s="1"/>
  <c r="W132" s="1"/>
  <c r="X132" s="1"/>
  <c r="C10"/>
  <c r="AA130"/>
  <c r="B130" s="1"/>
  <c r="W181"/>
  <c r="W184"/>
  <c r="W201"/>
  <c r="W202"/>
  <c r="G200"/>
  <c r="G197"/>
  <c r="P178"/>
  <c r="P186"/>
  <c r="S188"/>
  <c r="S204"/>
  <c r="S185"/>
  <c r="S205"/>
  <c r="K195"/>
  <c r="K190"/>
  <c r="K177"/>
  <c r="T178"/>
  <c r="T186"/>
  <c r="T181"/>
  <c r="T179"/>
  <c r="T200"/>
  <c r="L191"/>
  <c r="L184"/>
  <c r="L197"/>
  <c r="L201"/>
  <c r="R197"/>
  <c r="Q204"/>
  <c r="I196"/>
  <c r="I190"/>
  <c r="V189"/>
  <c r="V197"/>
  <c r="V187"/>
  <c r="E202"/>
  <c r="O202"/>
  <c r="F184"/>
  <c r="X206"/>
  <c r="X201"/>
  <c r="J183"/>
  <c r="N199"/>
  <c r="N195"/>
  <c r="H195"/>
  <c r="H187"/>
  <c r="M197"/>
  <c r="M192"/>
  <c r="U188"/>
  <c r="U199"/>
  <c r="U192"/>
  <c r="W182"/>
  <c r="W199"/>
  <c r="W203"/>
  <c r="W197"/>
  <c r="W178"/>
  <c r="W205"/>
  <c r="G183"/>
  <c r="G178"/>
  <c r="G201"/>
  <c r="G204"/>
  <c r="G187"/>
  <c r="P198"/>
  <c r="P200"/>
  <c r="P196"/>
  <c r="P204"/>
  <c r="P201"/>
  <c r="P182"/>
  <c r="P183"/>
  <c r="S202"/>
  <c r="S180"/>
  <c r="S186"/>
  <c r="S192"/>
  <c r="S178"/>
  <c r="S190"/>
  <c r="K193"/>
  <c r="K185"/>
  <c r="K198"/>
  <c r="K181"/>
  <c r="K179"/>
  <c r="K201"/>
  <c r="T190"/>
  <c r="T187"/>
  <c r="T204"/>
  <c r="T196"/>
  <c r="T201"/>
  <c r="L179"/>
  <c r="L192"/>
  <c r="L186"/>
  <c r="L182"/>
  <c r="L193"/>
  <c r="L204"/>
  <c r="R194"/>
  <c r="R179"/>
  <c r="R180"/>
  <c r="R184"/>
  <c r="R181"/>
  <c r="R177"/>
  <c r="R186"/>
  <c r="Q178"/>
  <c r="Q179"/>
  <c r="Q201"/>
  <c r="Q192"/>
  <c r="Q184"/>
  <c r="Q198"/>
  <c r="Q188"/>
  <c r="I193"/>
  <c r="I191"/>
  <c r="I204"/>
  <c r="I178"/>
  <c r="I185"/>
  <c r="I197"/>
  <c r="V205"/>
  <c r="V198"/>
  <c r="V203"/>
  <c r="V201"/>
  <c r="V185"/>
  <c r="V190"/>
  <c r="V182"/>
  <c r="E200"/>
  <c r="E186"/>
  <c r="E182"/>
  <c r="E192"/>
  <c r="E189"/>
  <c r="E177"/>
  <c r="O198"/>
  <c r="O177"/>
  <c r="O193"/>
  <c r="O184"/>
  <c r="O179"/>
  <c r="O180"/>
  <c r="O204"/>
  <c r="F191"/>
  <c r="F201"/>
  <c r="F177"/>
  <c r="F198"/>
  <c r="F181"/>
  <c r="F193"/>
  <c r="F186"/>
  <c r="X193"/>
  <c r="X197"/>
  <c r="X198"/>
  <c r="X187"/>
  <c r="X202"/>
  <c r="X177"/>
  <c r="X194"/>
  <c r="X195"/>
  <c r="J180"/>
  <c r="J196"/>
  <c r="J198"/>
  <c r="J187"/>
  <c r="J181"/>
  <c r="J192"/>
  <c r="N190"/>
  <c r="N184"/>
  <c r="N181"/>
  <c r="N200"/>
  <c r="N191"/>
  <c r="N186"/>
  <c r="H192"/>
  <c r="H183"/>
  <c r="H184"/>
  <c r="H193"/>
  <c r="H204"/>
  <c r="H181"/>
  <c r="M177"/>
  <c r="M178"/>
  <c r="M205"/>
  <c r="U197"/>
  <c r="U201"/>
  <c r="U190"/>
  <c r="E171"/>
  <c r="F171" s="1"/>
  <c r="G171" s="1"/>
  <c r="H171" s="1"/>
  <c r="I171" s="1"/>
  <c r="J171" s="1"/>
  <c r="K171" s="1"/>
  <c r="L171" s="1"/>
  <c r="M171" s="1"/>
  <c r="N171" s="1"/>
  <c r="O171" s="1"/>
  <c r="P171" s="1"/>
  <c r="Q171" s="1"/>
  <c r="R171" s="1"/>
  <c r="S171" s="1"/>
  <c r="T171" s="1"/>
  <c r="U171" s="1"/>
  <c r="V171" s="1"/>
  <c r="W171" s="1"/>
  <c r="X171" s="1"/>
  <c r="E206"/>
  <c r="W180"/>
  <c r="W187"/>
  <c r="G194"/>
  <c r="G190"/>
  <c r="P185"/>
  <c r="P206"/>
  <c r="P203"/>
  <c r="P195"/>
  <c r="S182"/>
  <c r="S184"/>
  <c r="K187"/>
  <c r="T203"/>
  <c r="L195"/>
  <c r="L203"/>
  <c r="L206"/>
  <c r="L185"/>
  <c r="R203"/>
  <c r="R189"/>
  <c r="R190"/>
  <c r="Q206"/>
  <c r="Q190"/>
  <c r="Q195"/>
  <c r="Q196"/>
  <c r="Q182"/>
  <c r="I195"/>
  <c r="I206"/>
  <c r="I201"/>
  <c r="I182"/>
  <c r="I187"/>
  <c r="I199"/>
  <c r="V192"/>
  <c r="V184"/>
  <c r="V193"/>
  <c r="V194"/>
  <c r="V181"/>
  <c r="V195"/>
  <c r="E195"/>
  <c r="E197"/>
  <c r="E179"/>
  <c r="O200"/>
  <c r="O195"/>
  <c r="O190"/>
  <c r="O182"/>
  <c r="F190"/>
  <c r="F195"/>
  <c r="F185"/>
  <c r="X183"/>
  <c r="X190"/>
  <c r="X191"/>
  <c r="X186"/>
  <c r="J185"/>
  <c r="J189"/>
  <c r="J178"/>
  <c r="N189"/>
  <c r="N180"/>
  <c r="N183"/>
  <c r="N203"/>
  <c r="H177"/>
  <c r="H206"/>
  <c r="H202"/>
  <c r="M200"/>
  <c r="M201"/>
  <c r="M181"/>
  <c r="M185"/>
  <c r="M198"/>
  <c r="M183"/>
  <c r="U203"/>
  <c r="W194"/>
  <c r="W189"/>
  <c r="W190"/>
  <c r="W192"/>
  <c r="W195"/>
  <c r="G189"/>
  <c r="G181"/>
  <c r="G195"/>
  <c r="P188"/>
  <c r="P191"/>
  <c r="P179"/>
  <c r="P193"/>
  <c r="S189"/>
  <c r="S199"/>
  <c r="S196"/>
  <c r="K188"/>
  <c r="K206"/>
  <c r="T193"/>
  <c r="T199"/>
  <c r="T182"/>
  <c r="T194"/>
  <c r="L196"/>
  <c r="L189"/>
  <c r="L199"/>
  <c r="L181"/>
  <c r="R200"/>
  <c r="R192"/>
  <c r="R204"/>
  <c r="Q181"/>
  <c r="Q200"/>
  <c r="I203"/>
  <c r="I183"/>
  <c r="V179"/>
  <c r="E204"/>
  <c r="E205"/>
  <c r="O197"/>
  <c r="O203"/>
  <c r="O186"/>
  <c r="F204"/>
  <c r="X189"/>
  <c r="X179"/>
  <c r="X180"/>
  <c r="J191"/>
  <c r="J202"/>
  <c r="J197"/>
  <c r="J205"/>
  <c r="N194"/>
  <c r="N206"/>
  <c r="N196"/>
  <c r="N204"/>
  <c r="N178"/>
  <c r="H186"/>
  <c r="H197"/>
  <c r="H190"/>
  <c r="H198"/>
  <c r="H200"/>
  <c r="H178"/>
  <c r="M204"/>
  <c r="M191"/>
  <c r="M187"/>
  <c r="M179"/>
  <c r="M195"/>
  <c r="U187"/>
  <c r="U189"/>
  <c r="U179"/>
  <c r="U181"/>
  <c r="U182"/>
  <c r="U208" l="1"/>
  <c r="V208"/>
  <c r="E208"/>
  <c r="E209" s="1"/>
  <c r="Q208"/>
  <c r="X208"/>
  <c r="J208"/>
  <c r="M208"/>
  <c r="I208"/>
  <c r="N208"/>
  <c r="G208"/>
  <c r="H208"/>
  <c r="R208"/>
  <c r="S208"/>
  <c r="F208"/>
  <c r="L208"/>
  <c r="T208"/>
  <c r="P208"/>
  <c r="O208"/>
  <c r="W208"/>
  <c r="K208"/>
  <c r="F209" l="1"/>
  <c r="G209" s="1"/>
  <c r="H209" s="1"/>
  <c r="I209" s="1"/>
  <c r="J209" s="1"/>
  <c r="K209" s="1"/>
  <c r="L209" s="1"/>
  <c r="M209" s="1"/>
  <c r="N209" s="1"/>
  <c r="O209" s="1"/>
  <c r="P209" s="1"/>
  <c r="Q209" s="1"/>
  <c r="R209" s="1"/>
  <c r="S209" s="1"/>
  <c r="T209" s="1"/>
  <c r="U209" s="1"/>
  <c r="V209" s="1"/>
  <c r="W209" s="1"/>
  <c r="X209" s="1"/>
</calcChain>
</file>

<file path=xl/comments1.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62"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62"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62"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62"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9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95"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95"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9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2.xml><?xml version="1.0" encoding="utf-8"?>
<comments xmlns="http://schemas.openxmlformats.org/spreadsheetml/2006/main">
  <authors>
    <author xml:space="preserve"> </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List>
</comments>
</file>

<file path=xl/comments3.xml><?xml version="1.0" encoding="utf-8"?>
<comments xmlns="http://schemas.openxmlformats.org/spreadsheetml/2006/main">
  <authors>
    <author>Tom Eckman</author>
  </authors>
  <commentList>
    <comment ref="B10" authorId="0">
      <text>
        <r>
          <rPr>
            <b/>
            <sz val="8"/>
            <color indexed="81"/>
            <rFont val="Tahoma"/>
            <family val="2"/>
          </rPr>
          <t>Tom Eckman:</t>
        </r>
        <r>
          <rPr>
            <sz val="8"/>
            <color indexed="81"/>
            <rFont val="Tahoma"/>
            <family val="2"/>
          </rPr>
          <t xml:space="preserve">
Ratio of NYSERDA Annual Milk Produced/Cow-yr to State Milk Produced/Cow-yr* NYSERA kWh/cow-yr for Freestall Dairies.</t>
        </r>
      </text>
    </comment>
    <comment ref="B25" authorId="0">
      <text>
        <r>
          <rPr>
            <b/>
            <sz val="8"/>
            <color indexed="81"/>
            <rFont val="Tahoma"/>
            <family val="2"/>
          </rPr>
          <t>Tom Eckman:</t>
        </r>
        <r>
          <rPr>
            <sz val="8"/>
            <color indexed="81"/>
            <rFont val="Tahoma"/>
            <family val="2"/>
          </rPr>
          <t xml:space="preserve">
Ratio of NYSERDA Annual Milk Produced/Cow-yr to State Milk Produced/Cow-yr* NYSERA kWh/cow-yr for Tiestall Dairies.</t>
        </r>
      </text>
    </comment>
    <comment ref="B47" authorId="0">
      <text>
        <r>
          <rPr>
            <b/>
            <sz val="8"/>
            <color indexed="81"/>
            <rFont val="Tahoma"/>
            <family val="2"/>
          </rPr>
          <t>Tom Eckman:</t>
        </r>
        <r>
          <rPr>
            <sz val="8"/>
            <color indexed="81"/>
            <rFont val="Tahoma"/>
            <family val="2"/>
          </rPr>
          <t xml:space="preserve">
Ratio of NYSERDA Annual Milk Produced/Cow-yr to State Milk Produced/Cow-yr* NYSERA kWh/cow-yr for Freestall Dairies.</t>
        </r>
      </text>
    </comment>
    <comment ref="B62" authorId="0">
      <text>
        <r>
          <rPr>
            <b/>
            <sz val="8"/>
            <color indexed="81"/>
            <rFont val="Tahoma"/>
            <family val="2"/>
          </rPr>
          <t>Tom Eckman:</t>
        </r>
        <r>
          <rPr>
            <sz val="8"/>
            <color indexed="81"/>
            <rFont val="Tahoma"/>
            <family val="2"/>
          </rPr>
          <t xml:space="preserve">
Ratio of NYSERDA Annual Milk Produced/Cow-yr to State Milk Produced/Cow-yr* NYSERA kWh/cow-yr for Tiestall Dairies.</t>
        </r>
      </text>
    </comment>
    <comment ref="A78" authorId="0">
      <text>
        <r>
          <rPr>
            <b/>
            <sz val="8"/>
            <color indexed="81"/>
            <rFont val="Tahoma"/>
            <family val="2"/>
          </rPr>
          <t>Tom Eckman:</t>
        </r>
        <r>
          <rPr>
            <sz val="8"/>
            <color indexed="81"/>
            <rFont val="Tahoma"/>
            <family val="2"/>
          </rPr>
          <t xml:space="preserve">
Based on share of milk production by herd size for 2007. See State Dairy Production Tab</t>
        </r>
      </text>
    </comment>
    <comment ref="B84" authorId="0">
      <text>
        <r>
          <rPr>
            <b/>
            <sz val="8"/>
            <color indexed="81"/>
            <rFont val="Tahoma"/>
            <family val="2"/>
          </rPr>
          <t>Tom Eckman:</t>
        </r>
        <r>
          <rPr>
            <sz val="8"/>
            <color indexed="81"/>
            <rFont val="Tahoma"/>
            <family val="2"/>
          </rPr>
          <t xml:space="preserve">
Ratio of NYSERDA Annual Milk Produced/Cow-yr to State Milk Produced/Cow-yr* NYSERA kWh/cow-yr for Freestall Dairies.</t>
        </r>
      </text>
    </comment>
    <comment ref="B99" authorId="0">
      <text>
        <r>
          <rPr>
            <b/>
            <sz val="8"/>
            <color indexed="81"/>
            <rFont val="Tahoma"/>
            <family val="2"/>
          </rPr>
          <t>Tom Eckman:</t>
        </r>
        <r>
          <rPr>
            <sz val="8"/>
            <color indexed="81"/>
            <rFont val="Tahoma"/>
            <family val="2"/>
          </rPr>
          <t xml:space="preserve">
Ratio of NYSERDA Annual Milk Produced/Cow-yr to State Milk Produced/Cow-yr* NYSERA kWh/cow-yr for Tiestall Dairies.</t>
        </r>
      </text>
    </comment>
    <comment ref="B121" authorId="0">
      <text>
        <r>
          <rPr>
            <b/>
            <sz val="8"/>
            <color indexed="81"/>
            <rFont val="Tahoma"/>
            <family val="2"/>
          </rPr>
          <t>Tom Eckman:</t>
        </r>
        <r>
          <rPr>
            <sz val="8"/>
            <color indexed="81"/>
            <rFont val="Tahoma"/>
            <family val="2"/>
          </rPr>
          <t xml:space="preserve">
Ratio of NYSERDA Annual Milk Produced/Cow-yr to State Milk Produced/Cow-yr* NYSERA kWh/cow-yr for Freestall Dairies.</t>
        </r>
      </text>
    </comment>
    <comment ref="B136" authorId="0">
      <text>
        <r>
          <rPr>
            <b/>
            <sz val="8"/>
            <color indexed="81"/>
            <rFont val="Tahoma"/>
            <family val="2"/>
          </rPr>
          <t>Tom Eckman:</t>
        </r>
        <r>
          <rPr>
            <sz val="8"/>
            <color indexed="81"/>
            <rFont val="Tahoma"/>
            <family val="2"/>
          </rPr>
          <t xml:space="preserve">
Ratio of NYSERDA Annual Milk Produced/Cow-yr to State Milk Produced/Cow-yr* NYSERA kWh/cow-yr for Tiestall Dairies.</t>
        </r>
      </text>
    </comment>
    <comment ref="B158" authorId="0">
      <text>
        <r>
          <rPr>
            <b/>
            <sz val="8"/>
            <color indexed="81"/>
            <rFont val="Tahoma"/>
            <family val="2"/>
          </rPr>
          <t>Tom Eckman:</t>
        </r>
        <r>
          <rPr>
            <sz val="8"/>
            <color indexed="81"/>
            <rFont val="Tahoma"/>
            <family val="2"/>
          </rPr>
          <t xml:space="preserve">
Ratio of NYSERDA Annual Milk Produced/Cow-yr to State Milk Produced/Cow-yr* NYSERA kWh/cow-yr for Freestall Dairies.</t>
        </r>
      </text>
    </comment>
    <comment ref="B173" authorId="0">
      <text>
        <r>
          <rPr>
            <b/>
            <sz val="8"/>
            <color indexed="81"/>
            <rFont val="Tahoma"/>
            <family val="2"/>
          </rPr>
          <t>Tom Eckman:</t>
        </r>
        <r>
          <rPr>
            <sz val="8"/>
            <color indexed="81"/>
            <rFont val="Tahoma"/>
            <family val="2"/>
          </rPr>
          <t xml:space="preserve">
Ratio of NYSERDA Annual Milk Produced/Cow-yr to State Milk Produced/Cow-yr* NYSERA kWh/cow-yr for Tiestall Dairies.</t>
        </r>
      </text>
    </comment>
  </commentList>
</comments>
</file>

<file path=xl/comments4.xml><?xml version="1.0" encoding="utf-8"?>
<comments xmlns="http://schemas.openxmlformats.org/spreadsheetml/2006/main">
  <authors>
    <author>Tom Eckman</author>
  </authors>
  <commentList>
    <comment ref="AA2" authorId="0">
      <text>
        <r>
          <rPr>
            <b/>
            <sz val="8"/>
            <color indexed="81"/>
            <rFont val="Tahoma"/>
            <family val="2"/>
          </rPr>
          <t>Tom Eckman:</t>
        </r>
        <r>
          <rPr>
            <sz val="8"/>
            <color indexed="81"/>
            <rFont val="Tahoma"/>
            <family val="2"/>
          </rPr>
          <t xml:space="preserve">
Electricity only. Does not account for energy use by other fuel types.</t>
        </r>
      </text>
    </comment>
    <comment ref="AU2" authorId="0">
      <text>
        <r>
          <rPr>
            <b/>
            <sz val="8"/>
            <color indexed="81"/>
            <rFont val="Tahoma"/>
            <family val="2"/>
          </rPr>
          <t>Tom Eckman:</t>
        </r>
        <r>
          <rPr>
            <sz val="8"/>
            <color indexed="81"/>
            <rFont val="Tahoma"/>
            <family val="2"/>
          </rPr>
          <t xml:space="preserve">
Electricity only. Does not account for energy use by other fuel types.</t>
        </r>
      </text>
    </comment>
  </commentList>
</comments>
</file>

<file path=xl/comments5.xml><?xml version="1.0" encoding="utf-8"?>
<comments xmlns="http://schemas.openxmlformats.org/spreadsheetml/2006/main">
  <authors>
    <author>Tom Eckman</author>
  </authors>
  <commentList>
    <comment ref="O2" authorId="0">
      <text>
        <r>
          <rPr>
            <b/>
            <sz val="8"/>
            <color indexed="81"/>
            <rFont val="Tahoma"/>
            <family val="2"/>
          </rPr>
          <t>Tom Eckman:</t>
        </r>
        <r>
          <rPr>
            <sz val="8"/>
            <color indexed="81"/>
            <rFont val="Tahoma"/>
            <family val="2"/>
          </rPr>
          <t xml:space="preserve">
NYSERDA reported water heating done by non-electric fuel sources as "equivalent kWh".  NYSERDA study did not state how conversion was done.</t>
        </r>
      </text>
    </comment>
    <comment ref="P2" authorId="0">
      <text>
        <r>
          <rPr>
            <b/>
            <sz val="8"/>
            <color indexed="81"/>
            <rFont val="Tahoma"/>
            <family val="2"/>
          </rPr>
          <t>Tom Eckman:</t>
        </r>
        <r>
          <rPr>
            <sz val="8"/>
            <color indexed="81"/>
            <rFont val="Tahoma"/>
            <family val="2"/>
          </rPr>
          <t xml:space="preserve">
Calculated as the residual of all total in column C minus consumption in all specific end uses</t>
        </r>
      </text>
    </comment>
  </commentList>
</comments>
</file>

<file path=xl/comments6.xml><?xml version="1.0" encoding="utf-8"?>
<comments xmlns="http://schemas.openxmlformats.org/spreadsheetml/2006/main">
  <authors>
    <author>Tina Jayaweera</author>
  </authors>
  <commentList>
    <comment ref="P6" authorId="0">
      <text>
        <r>
          <rPr>
            <b/>
            <sz val="9"/>
            <color indexed="81"/>
            <rFont val="Tahoma"/>
            <family val="2"/>
          </rPr>
          <t>Tina Jayaweera:</t>
        </r>
        <r>
          <rPr>
            <sz val="9"/>
            <color indexed="81"/>
            <rFont val="Tahoma"/>
            <family val="2"/>
          </rPr>
          <t xml:space="preserve">
Only including those west or partially west of divide</t>
        </r>
      </text>
    </comment>
    <comment ref="Q6" authorId="0">
      <text>
        <r>
          <rPr>
            <b/>
            <sz val="9"/>
            <color indexed="81"/>
            <rFont val="Tahoma"/>
            <family val="2"/>
          </rPr>
          <t>Tina Jayaweera:</t>
        </r>
        <r>
          <rPr>
            <sz val="9"/>
            <color indexed="81"/>
            <rFont val="Tahoma"/>
            <family val="2"/>
          </rPr>
          <t xml:space="preserve">
too many counties missing data on # of cows, so using # of farms</t>
        </r>
      </text>
    </comment>
  </commentList>
</comments>
</file>

<file path=xl/sharedStrings.xml><?xml version="1.0" encoding="utf-8"?>
<sst xmlns="http://schemas.openxmlformats.org/spreadsheetml/2006/main" count="2723" uniqueCount="827">
  <si>
    <t>State</t>
  </si>
  <si>
    <t>Average Number of Milk Cows</t>
  </si>
  <si>
    <t>Average Milk Produced per Cow (lbs)</t>
  </si>
  <si>
    <t>Total Production (lbs)</t>
  </si>
  <si>
    <t>Idaho</t>
  </si>
  <si>
    <t>Freestall</t>
  </si>
  <si>
    <t>Assumed Mix of Dairy Farm Type =&gt;</t>
  </si>
  <si>
    <t>Tiestall</t>
  </si>
  <si>
    <t>Milking Parlor Type - Freestall</t>
  </si>
  <si>
    <t>No. Cows Milked</t>
  </si>
  <si>
    <t>Savings/ kWh/1000 lbs</t>
  </si>
  <si>
    <t>Pre-ECM</t>
  </si>
  <si>
    <t>Average Milked Produced (lbs/cow-yr)</t>
  </si>
  <si>
    <t>Median Vacuum Pump  (kWh/1000 lbs/yr)</t>
  </si>
  <si>
    <t>Median Milk Cooling (kWh/1000 lbs/yr)</t>
  </si>
  <si>
    <t>Median Lighting (kWh/1000 lbs/yr)</t>
  </si>
  <si>
    <t>Median Ventilation (kWh/1000 lbs/yr)</t>
  </si>
  <si>
    <t>Median Feeding Equipment (kWh/1000 lbs/yr)</t>
  </si>
  <si>
    <t>Median Manure Handling (kWh/1000 lbs/yr)</t>
  </si>
  <si>
    <t>Median Water Heating (kWh/1000 lbs/yr</t>
  </si>
  <si>
    <t>Median Miscellanous/Other (kWh/1000 lbs/yr</t>
  </si>
  <si>
    <t>Freestall Subtotal (kWh/yr)</t>
  </si>
  <si>
    <t>Freestall Subtotal (aMW)</t>
  </si>
  <si>
    <t>Milking Parlor Type - Tiestall</t>
  </si>
  <si>
    <t>Total Pre-ECM Use (aMW)</t>
  </si>
  <si>
    <t>State Total Dairy Sales (aMW)</t>
  </si>
  <si>
    <t>Total Post-ECM Use (aMW)</t>
  </si>
  <si>
    <t>Total Post-ECM Savings (aMW)</t>
  </si>
  <si>
    <t>Montana</t>
  </si>
  <si>
    <t>Oregon</t>
  </si>
  <si>
    <t>Washington</t>
  </si>
  <si>
    <t>Baseline ECM Penetration</t>
  </si>
  <si>
    <t>Idaho Total Dairy Sales (aMW)</t>
  </si>
  <si>
    <t>PNW</t>
  </si>
  <si>
    <t>Pre-ECM Retail Dairy Sales (aMW)</t>
  </si>
  <si>
    <t>Post-ECM Retail Dairy Sales (aMW)</t>
  </si>
  <si>
    <t>Retail Dairy Savings (aMW)</t>
  </si>
  <si>
    <t>Basic Farm Data</t>
  </si>
  <si>
    <t>EUIs</t>
  </si>
  <si>
    <t>Existing ECMs</t>
  </si>
  <si>
    <t>Farm Data</t>
  </si>
  <si>
    <t>Dairy EUIs - PreRetrofit</t>
  </si>
  <si>
    <t>Dairy EUIs - Post-Retrofit</t>
  </si>
  <si>
    <t>Presence of ECM</t>
  </si>
  <si>
    <t>Farm No</t>
  </si>
  <si>
    <t>Annual Use (kWh)</t>
  </si>
  <si>
    <t>Milking Parlor Type</t>
  </si>
  <si>
    <t>No. Cow-yrs</t>
  </si>
  <si>
    <t>Annual Milk Production (lbs)</t>
  </si>
  <si>
    <t>Annual milk Prodcution (lbs/Cow-yr)</t>
  </si>
  <si>
    <t>Average Use/Cow (kWh/cow-yr)</t>
  </si>
  <si>
    <t>Electricity Use (kWh/1000 gals/yr)</t>
  </si>
  <si>
    <t>Vaccuum Pump (kWh/ 1000 lbs/yr)</t>
  </si>
  <si>
    <t>Milk Cooling (kWh/ 1000 lbs/yr)</t>
  </si>
  <si>
    <t>Lighting (kWh/ 1000 lbs/yr)</t>
  </si>
  <si>
    <t>Ventilation (kWh/ 1000 lbs/yr)</t>
  </si>
  <si>
    <t>Plate Milk Pre-Cooler</t>
  </si>
  <si>
    <t>Savings (kwh/yr/1000 gals)</t>
  </si>
  <si>
    <t>Feeding Equipment (kWh/ 1000 lbs/yr)</t>
  </si>
  <si>
    <t>Manure Handling (kWh/ 1000 lbs/yr)</t>
  </si>
  <si>
    <t>Water Heating (kWh/ 1000 lbs/yr</t>
  </si>
  <si>
    <t>Miscellanous/Other (kWh/ 1000 lbs/yr</t>
  </si>
  <si>
    <t>VSD on Vacuum Pump</t>
  </si>
  <si>
    <t>VSD on Milk Pump</t>
  </si>
  <si>
    <t>Heat Recovery Refrigeration</t>
  </si>
  <si>
    <t>Milk Pre-Cooler</t>
  </si>
  <si>
    <t>Efficient Lighting</t>
  </si>
  <si>
    <t>NYSERDA = Efficient</t>
  </si>
  <si>
    <t>Inlcudes Electric Water Heating Equivalent</t>
  </si>
  <si>
    <t>Average Annual Electricity Use (kWh)</t>
  </si>
  <si>
    <t>Average No. Cows Milked</t>
  </si>
  <si>
    <t>Average No. Cows-yrs</t>
  </si>
  <si>
    <t>Average Milked Produced/Cow (lbs)</t>
  </si>
  <si>
    <t>Average Annual Milk/Farm (lbs)</t>
  </si>
  <si>
    <t>Average Electricity Use/1000 lbs Milk (kWh)</t>
  </si>
  <si>
    <t>Refrigeration/Milk Cooling (kWh/ 1000 lbs/yr)</t>
  </si>
  <si>
    <t>Average Miscellanous/Other (kWh/1000 lbs/yr</t>
  </si>
  <si>
    <t>Average Vacuum Pump  (kWh/cow-yr)</t>
  </si>
  <si>
    <t>Average Refrigeration  (kWh/cow-yr)</t>
  </si>
  <si>
    <t>Average Lighting (kWh/cow-yr)</t>
  </si>
  <si>
    <t>Average Ventilation (kWh/cow-yr)</t>
  </si>
  <si>
    <t>Median Annual Electricity Use (kWh)</t>
  </si>
  <si>
    <t>Median No. Cows Milked</t>
  </si>
  <si>
    <t>Median No. Cow-yrs</t>
  </si>
  <si>
    <t>Median Milked Produced/Cow (lbs)</t>
  </si>
  <si>
    <t>Median Annual Milk/Farm (lbs)</t>
  </si>
  <si>
    <t>Median Electricity Use/1000 lbs Milk</t>
  </si>
  <si>
    <t>Median Use/Cow (kWh/cow-yr)</t>
  </si>
  <si>
    <t>Median Vacuum Pump  (kWh/cow-yr)</t>
  </si>
  <si>
    <t>Median Refrigeration  (kWh/cow-yr)</t>
  </si>
  <si>
    <t>Median Lighting (kWh/cow-yr)</t>
  </si>
  <si>
    <t>DairyVFD</t>
  </si>
  <si>
    <t>Vacuum Pump Run Time (Hrs./Day)</t>
  </si>
  <si>
    <t>Existing Motor HP</t>
  </si>
  <si>
    <t>Metered Baseline - kWh/yr.</t>
  </si>
  <si>
    <t>Metered Post-Installation - kWh/yr.</t>
  </si>
  <si>
    <t>Metered Annual Energy Savings - kWh/yr.</t>
  </si>
  <si>
    <t>SUMMARY OUTPUT</t>
  </si>
  <si>
    <t>Regression Statistics</t>
  </si>
  <si>
    <t>Multiple R</t>
  </si>
  <si>
    <t>R Square</t>
  </si>
  <si>
    <t>Adjusted R Square</t>
  </si>
  <si>
    <t>Standard Error</t>
  </si>
  <si>
    <t>Observations</t>
  </si>
  <si>
    <t>ANOVA</t>
  </si>
  <si>
    <t>df</t>
  </si>
  <si>
    <t>SS</t>
  </si>
  <si>
    <t>MS</t>
  </si>
  <si>
    <t>F</t>
  </si>
  <si>
    <t>Significance F</t>
  </si>
  <si>
    <t>Regression</t>
  </si>
  <si>
    <t>Residual</t>
  </si>
  <si>
    <t>Coefficients</t>
  </si>
  <si>
    <t>t Stat</t>
  </si>
  <si>
    <t>P-value</t>
  </si>
  <si>
    <t>Lower 95%</t>
  </si>
  <si>
    <t>Upper 95%</t>
  </si>
  <si>
    <t>Lower 95.0%</t>
  </si>
  <si>
    <t>Upper 95.0%</t>
  </si>
  <si>
    <t>Intercept</t>
  </si>
  <si>
    <t>Pre</t>
  </si>
  <si>
    <t>Post</t>
  </si>
  <si>
    <t>Bonneville Project Analysis</t>
  </si>
  <si>
    <t>DairyDHW</t>
  </si>
  <si>
    <t>GrocCaseLight18h</t>
  </si>
  <si>
    <t>Lighting</t>
  </si>
  <si>
    <t>ECM Cost</t>
  </si>
  <si>
    <t>Annual Savings (kWh/1000 lbs)</t>
  </si>
  <si>
    <t>Total Milk Production (1000 lbs)</t>
  </si>
  <si>
    <t>Median Ventilation (kWh/cow-yr)</t>
  </si>
  <si>
    <t>TieStall</t>
  </si>
  <si>
    <t>kWh/1000 lbs</t>
  </si>
  <si>
    <t>Free Stall</t>
  </si>
  <si>
    <t>Tie Stall</t>
  </si>
  <si>
    <t>All</t>
  </si>
  <si>
    <t>NYSERDA Finding: Farms with total use of less than 750 kWh/cow-yr, vacuum pump use less than 50 kWh/cow-milking-yr, and 0.7 kWh/cwt (hundredweight-100 lbs of milk produced) for milk cooling would be considered energy efficient.</t>
  </si>
  <si>
    <t>Annual Use by Equipment Category</t>
  </si>
  <si>
    <t>VSD - Vacuum Pump</t>
  </si>
  <si>
    <t>Plate Milk Pre-cooler</t>
  </si>
  <si>
    <t>Energy Efficient Lighting</t>
  </si>
  <si>
    <t>Milk Cooling Total</t>
  </si>
  <si>
    <t>Ventilation</t>
  </si>
  <si>
    <t>Feeding Equipment</t>
  </si>
  <si>
    <t>Manure Handling</t>
  </si>
  <si>
    <t>Water Heating Electrical (kWh/yr) or Electrical kWh-equivalent</t>
  </si>
  <si>
    <t>Farm No.</t>
  </si>
  <si>
    <t>Annual Milk Production</t>
  </si>
  <si>
    <t>Annual milk Production (lbs/Cow-yr)</t>
  </si>
  <si>
    <t>Vacuum Pump  (kWh/cow-yr)</t>
  </si>
  <si>
    <t>Vacuum Pump (kWh/yr)</t>
  </si>
  <si>
    <t>Milk Cooling (kWh/yr)</t>
  </si>
  <si>
    <t>Lighting (kWh/yr)</t>
  </si>
  <si>
    <t>Ventilation (kWh/yr)</t>
  </si>
  <si>
    <t>Feeding Equipment (kWh/yr)</t>
  </si>
  <si>
    <t>Manure Handling (kWh/yr)</t>
  </si>
  <si>
    <t>Electrical (kWh/yr)</t>
  </si>
  <si>
    <t>Misc (kWh/yr)</t>
  </si>
  <si>
    <t>Total (kWh/yr)</t>
  </si>
  <si>
    <t>Annual Savings (kWh)</t>
  </si>
  <si>
    <t>Installed Cost</t>
  </si>
  <si>
    <t>Post-ECM Use (kWh)</t>
  </si>
  <si>
    <t>Overall</t>
  </si>
  <si>
    <t>Annual kWh</t>
  </si>
  <si>
    <t>Simple Payback</t>
  </si>
  <si>
    <t>Non-electric</t>
  </si>
  <si>
    <t>Dairy Efficiency</t>
  </si>
  <si>
    <t>Year</t>
  </si>
  <si>
    <t>Average Number of Milk Cows (1,000)</t>
  </si>
  <si>
    <t>Milk Produced per Cow (lbs)</t>
  </si>
  <si>
    <t>Total Production (million lbs)</t>
  </si>
  <si>
    <t>New York</t>
  </si>
  <si>
    <t>Farms</t>
  </si>
  <si>
    <t>Average Cows/farm</t>
  </si>
  <si>
    <t>Cows</t>
  </si>
  <si>
    <t>Production/Cow (lbs)</t>
  </si>
  <si>
    <t>Total Production</t>
  </si>
  <si>
    <t>Share of Total Milk Production by Dairy Herd Size</t>
  </si>
  <si>
    <t>1-29 Head</t>
  </si>
  <si>
    <t>30-49 Head</t>
  </si>
  <si>
    <t>50-99 Head</t>
  </si>
  <si>
    <t>100-199 Head</t>
  </si>
  <si>
    <t>200-499 Head</t>
  </si>
  <si>
    <t>500+ Head</t>
  </si>
  <si>
    <t>EUIs from CA Dairy Farm Energy Management Guide (Southern CA Ed/PG&amp;E)</t>
  </si>
  <si>
    <t>Low</t>
  </si>
  <si>
    <t>High</t>
  </si>
  <si>
    <t>Milk Harvest EUIs</t>
  </si>
  <si>
    <t xml:space="preserve"> kWh/1000 lbs harvested</t>
  </si>
  <si>
    <t>EUIs for conventional vacuum systems can easily range from 70 to 100 kWh per cow-year</t>
  </si>
  <si>
    <t>The EUIs achieved by VSD equipped vacuum pumps are reduced to 25 to 50 kWh per cow-yr</t>
  </si>
  <si>
    <t>Milk Cooling Energy Utilization Indices (EUIs)</t>
  </si>
  <si>
    <t>The EUI for milk cooling with a well maintained cooling system and no energy conservation</t>
  </si>
  <si>
    <t>measures averages between 0.8 and 1.2 kWh/cwt [hundred weight] of milk cooled. There</t>
  </si>
  <si>
    <t>are two EMCs that can be employed. They will be described in the next section. As ECMs</t>
  </si>
  <si>
    <t>are added, the EUI will decrease. Partial cooling the milk with a well water “precooler” will</t>
  </si>
  <si>
    <t>save 0.2 to 0.3 kWh per cwt milk cooled. Installing a variable frequency drive will lower the</t>
  </si>
  <si>
    <t>EUI an additional 0.2 kWh per cwt milk cooled. The actual reduction in energy use will be</t>
  </si>
  <si>
    <t>dependent on well water temperature, water flow and the effectiveness of the VFD to reduce the milk flow through the heat exchanger.</t>
  </si>
  <si>
    <t>Milk cooling system EUI</t>
  </si>
  <si>
    <t>Conventional</t>
  </si>
  <si>
    <t>Well water precooler</t>
  </si>
  <si>
    <t>Well water precooler with VFD on receiver pump</t>
  </si>
  <si>
    <t>Lighting EUIs</t>
  </si>
  <si>
    <t>The kilowatt-hours used per cow-year for operating all lighting equipment on the dairy</t>
  </si>
  <si>
    <t>establish the EUI for lighting. A reasonable range for lighting EUI’s on California dairies</t>
  </si>
  <si>
    <t>would be from 30 to 75 kWh per cow-year.</t>
  </si>
  <si>
    <t>The advent of photoperiod manipulation or long day lighting (LDL) to increase milk</t>
  </si>
  <si>
    <t>production can significantly increase the EUI for lighting. Dairies utilizing LDL technology in</t>
  </si>
  <si>
    <t>their freestall barns would be expected to have lighting EUI’s range from 100 to 175 kWh</t>
  </si>
  <si>
    <t>per cow-year. Although lighting EUI’s will increase appreciably on those dairies adopting</t>
  </si>
  <si>
    <t>LDL, relatively modest increases in milk production make the supplementary lighting very</t>
  </si>
  <si>
    <t>cost-effective.</t>
  </si>
  <si>
    <t>Ventilation EUIs</t>
  </si>
  <si>
    <t>A practical range for air circulation EUI’s on California dairies that have freestall barns and</t>
  </si>
  <si>
    <t>circulating fans would be from 100 to 175 kWh per cow-year. The overall level of the air</t>
  </si>
  <si>
    <t>circulation EUI is linked to the climate where the dairy is located and the extent to which</t>
  </si>
  <si>
    <t>circulating fans are used to counter the consequences of heat stress on dairy cows</t>
  </si>
  <si>
    <t>Parlor &amp; Holding Area Air Circulation EUI – Electrical energy use for parlor &amp; holding area</t>
  </si>
  <si>
    <t>air circulation typically falls in the range of 10-20 kWh per cow-year.</t>
  </si>
  <si>
    <t>Achieving the most effective air circulation EUI for these areas will also be influenced by the above factors.</t>
  </si>
  <si>
    <t>Since the milking operation may occur almost around the clock the total hours of use will exceed that in the freestall.</t>
  </si>
  <si>
    <t>Washing and Water Heating EUIs</t>
  </si>
  <si>
    <t>per Cow-yr</t>
  </si>
  <si>
    <t>Fuel Source Quantity per cow-year</t>
  </si>
  <si>
    <t>Average</t>
  </si>
  <si>
    <t>Range</t>
  </si>
  <si>
    <t>Natural Gas (Therms)</t>
  </si>
  <si>
    <t xml:space="preserve">0.8 - 2.0 </t>
  </si>
  <si>
    <t>Propane (gals)</t>
  </si>
  <si>
    <t>0.9 - 2.2</t>
  </si>
  <si>
    <t>Fuel Oil (gals)</t>
  </si>
  <si>
    <t>0.9 - 1.7</t>
  </si>
  <si>
    <t>Electricity (kWh)</t>
  </si>
  <si>
    <t>22 - 44</t>
  </si>
  <si>
    <t>Compressed Air EUIs</t>
  </si>
  <si>
    <t>General levels for compressed air EUIs will commonly range from 15 to 50 kWh per cowyear</t>
  </si>
  <si>
    <t>on most California dairy farms. EUIs on the lower end of the range may suggest very</t>
  </si>
  <si>
    <t>efficient compressed air systems or low levels of animal handling automation. EUIs on the</t>
  </si>
  <si>
    <t>upper end of range can indicate milking parlor systems using a high level of air-operated</t>
  </si>
  <si>
    <t>equipment, or a poorly maintained leaky compressed air system.</t>
  </si>
  <si>
    <t>Median</t>
  </si>
  <si>
    <t>Costs must be denominated in the same year as 'Input Cost Reference Year' =</t>
  </si>
  <si>
    <t>Periodic Replacement Costs and Savings and Replacement Period</t>
  </si>
  <si>
    <t>Savings (therms/yr)</t>
  </si>
  <si>
    <t>Input Data</t>
  </si>
  <si>
    <t>Category Name</t>
  </si>
  <si>
    <t>Measure Name</t>
  </si>
  <si>
    <t>Shape Pointer</t>
  </si>
  <si>
    <t>Cost 1 ($)</t>
  </si>
  <si>
    <t xml:space="preserve">Period 1 </t>
  </si>
  <si>
    <t>Cost 2 ($)</t>
  </si>
  <si>
    <t>Period 2</t>
  </si>
  <si>
    <t>Cost 3 ($)</t>
  </si>
  <si>
    <t>Period 3</t>
  </si>
  <si>
    <t>Data Set Name</t>
  </si>
  <si>
    <t>Life (yrs)</t>
  </si>
  <si>
    <t>Capital Cost</t>
  </si>
  <si>
    <t>Annual O&amp;M</t>
  </si>
  <si>
    <t>Non-E Val ($/yr)</t>
  </si>
  <si>
    <t>Gas Inputs</t>
  </si>
  <si>
    <t>ECM Baseline Penetration (Share of Farms)</t>
  </si>
  <si>
    <t>ECM Penetration ( Share of Milk Production)</t>
  </si>
  <si>
    <t>Dairy Type</t>
  </si>
  <si>
    <t>Number of Farms</t>
  </si>
  <si>
    <t>Electricity Consumper/1000 lbs milk</t>
  </si>
  <si>
    <t>Vacuum Pump</t>
  </si>
  <si>
    <t>Milk Cooling</t>
  </si>
  <si>
    <t>Feeding</t>
  </si>
  <si>
    <t>Manure Handing</t>
  </si>
  <si>
    <t>Water Heating</t>
  </si>
  <si>
    <t>Other</t>
  </si>
  <si>
    <t>Average Vacuum Pump  (kWh/1000 lbs/yr)</t>
  </si>
  <si>
    <t>Average Milk Cooling (kWh/1000 lbs/yr)</t>
  </si>
  <si>
    <t>Average Lighting (kWh/1000 lbs/yr)</t>
  </si>
  <si>
    <t>Average Ventilation (kWh/1000 lbs/yr)</t>
  </si>
  <si>
    <t>Average Feeding Equipment (kWh/1000 lbs/yr)</t>
  </si>
  <si>
    <t>Average Manure Handling (kWh/1000 lbs/yr)</t>
  </si>
  <si>
    <t>Average Water Heating (kWh/1000 lbs/yr</t>
  </si>
  <si>
    <t>Average Use (kWh/1000 lbs/yr)</t>
  </si>
  <si>
    <t>Savings</t>
  </si>
  <si>
    <t>Total</t>
  </si>
  <si>
    <t>Share</t>
  </si>
  <si>
    <t>State and region</t>
  </si>
  <si>
    <t>Milk cows</t>
  </si>
  <si>
    <t>Milk per cow</t>
  </si>
  <si>
    <t>Milk production</t>
  </si>
  <si>
    <t xml:space="preserve">1995 </t>
  </si>
  <si>
    <t xml:space="preserve">1997 </t>
  </si>
  <si>
    <t xml:space="preserve">1998 </t>
  </si>
  <si>
    <t xml:space="preserve">1999 </t>
  </si>
  <si>
    <t xml:space="preserve">2000 </t>
  </si>
  <si>
    <t>1998</t>
  </si>
  <si>
    <t>Thousands</t>
  </si>
  <si>
    <t>Pounds</t>
  </si>
  <si>
    <t>mil. pounds</t>
  </si>
  <si>
    <t>% US</t>
  </si>
  <si>
    <t xml:space="preserve">  Northeast</t>
  </si>
  <si>
    <t>Maine</t>
  </si>
  <si>
    <t>New Hampshire</t>
  </si>
  <si>
    <t>Vermont</t>
  </si>
  <si>
    <t>Massachusetts</t>
  </si>
  <si>
    <t>Rhode Island</t>
  </si>
  <si>
    <t>Connecticut</t>
  </si>
  <si>
    <t>New Jersey</t>
  </si>
  <si>
    <t>Pennsylvania</t>
  </si>
  <si>
    <t>Delaware</t>
  </si>
  <si>
    <t>Maryland</t>
  </si>
  <si>
    <t xml:space="preserve">  Lake States</t>
  </si>
  <si>
    <t>Michigan</t>
  </si>
  <si>
    <t>Wisconsin</t>
  </si>
  <si>
    <t>Minnesota</t>
  </si>
  <si>
    <t xml:space="preserve">  Corn Belt</t>
  </si>
  <si>
    <t>Ohio</t>
  </si>
  <si>
    <t>Indiana</t>
  </si>
  <si>
    <t>Illinois</t>
  </si>
  <si>
    <t>Iowa</t>
  </si>
  <si>
    <t>Missouri</t>
  </si>
  <si>
    <t xml:space="preserve">  Northern Plains</t>
  </si>
  <si>
    <t>North Dakota</t>
  </si>
  <si>
    <t>South Dakota</t>
  </si>
  <si>
    <t>Nebraska</t>
  </si>
  <si>
    <t>Kansas</t>
  </si>
  <si>
    <t xml:space="preserve">  Appalachian</t>
  </si>
  <si>
    <t>Virginia</t>
  </si>
  <si>
    <t>West Virginia</t>
  </si>
  <si>
    <t>North Carolina</t>
  </si>
  <si>
    <t>Kentucky</t>
  </si>
  <si>
    <t>Tennessee</t>
  </si>
  <si>
    <t xml:space="preserve">  Southeast</t>
  </si>
  <si>
    <t>South Carolina</t>
  </si>
  <si>
    <t>Georgia</t>
  </si>
  <si>
    <t>Florida</t>
  </si>
  <si>
    <t>Alabama</t>
  </si>
  <si>
    <t xml:space="preserve">  Delta States</t>
  </si>
  <si>
    <t>Mississippi</t>
  </si>
  <si>
    <t>Arkansas</t>
  </si>
  <si>
    <t>Louisiana</t>
  </si>
  <si>
    <t xml:space="preserve">  Southern Plains</t>
  </si>
  <si>
    <t>Oklahoma</t>
  </si>
  <si>
    <t>Texas</t>
  </si>
  <si>
    <t xml:space="preserve">  Mountain</t>
  </si>
  <si>
    <t>Wyoming</t>
  </si>
  <si>
    <t>Colorado</t>
  </si>
  <si>
    <t>New Mexico</t>
  </si>
  <si>
    <t>Arizona</t>
  </si>
  <si>
    <t>Utah</t>
  </si>
  <si>
    <t>Nevada</t>
  </si>
  <si>
    <t xml:space="preserve">  Pacific</t>
  </si>
  <si>
    <t>California</t>
  </si>
  <si>
    <t>Alaska</t>
  </si>
  <si>
    <t>Hawaii</t>
  </si>
  <si>
    <t xml:space="preserve">  United States</t>
  </si>
  <si>
    <t>1/ Preliminary</t>
  </si>
  <si>
    <t>1-19 Head</t>
  </si>
  <si>
    <t>20-49 Head</t>
  </si>
  <si>
    <t>from 2012 Census of Agriculture, Table 17, # of milk cows by herd size</t>
  </si>
  <si>
    <t>Milk cows and production by State and region, 2009-2013</t>
  </si>
  <si>
    <t>Milk cows and production by State and region, 2009-2013 (cont.)</t>
  </si>
  <si>
    <t xml:space="preserve">2011  </t>
  </si>
  <si>
    <t xml:space="preserve">2012  </t>
  </si>
  <si>
    <t>2013  1/</t>
  </si>
  <si>
    <t>2012</t>
  </si>
  <si>
    <t>2013 1/</t>
  </si>
  <si>
    <t>Source:  USDA/NASS Annual Milk Production, Disposition, and Income (PDI) and  Milk Production, various years.</t>
  </si>
  <si>
    <t>http://www.ers.usda.gov/data-products/dairy-data.aspx</t>
  </si>
  <si>
    <t>2013 State Level Dairy Farm Electricity Use Estimate</t>
  </si>
  <si>
    <t>GDP Deflator 2003$&gt;2012$</t>
  </si>
  <si>
    <t>Methodology</t>
  </si>
  <si>
    <t>Retrofit</t>
  </si>
  <si>
    <t>='[7P Forecasts D2.xlsx]Ag Forecast (Base Case)'!$BD$20</t>
  </si>
  <si>
    <t>Vintage</t>
  </si>
  <si>
    <t>Retro</t>
  </si>
  <si>
    <t>Measure Bundle</t>
  </si>
  <si>
    <t>Region</t>
  </si>
  <si>
    <t>Report Year</t>
  </si>
  <si>
    <t>Total Regional Stock</t>
  </si>
  <si>
    <t>Applicability</t>
  </si>
  <si>
    <t>Saturation</t>
  </si>
  <si>
    <t>MAX</t>
  </si>
  <si>
    <t>Motor Rewind</t>
  </si>
  <si>
    <t>Achievability =&gt;</t>
  </si>
  <si>
    <t>SUPPLY CURVE SAVINGS BY BUNDLE</t>
  </si>
  <si>
    <t>aMW</t>
  </si>
  <si>
    <t>kWh per home</t>
  </si>
  <si>
    <t>TRC Net Levelized Cost (Net of All Benefits) in mills/kWh</t>
  </si>
  <si>
    <t>Busbar Savings</t>
  </si>
  <si>
    <t>lvlcost</t>
  </si>
  <si>
    <t>measure</t>
  </si>
  <si>
    <t>state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</si>
  <si>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</si>
  <si>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</si>
  <si>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</si>
  <si>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</si>
  <si>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</si>
  <si>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</si>
  <si>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</si>
  <si>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</si>
  <si>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</si>
  <si>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</si>
  <si>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</si>
  <si>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</si>
  <si>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</si>
  <si>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</si>
  <si>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</si>
  <si>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</si>
  <si>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</si>
  <si>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</si>
  <si>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</si>
  <si>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</si>
  <si>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</si>
  <si>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</si>
  <si>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</si>
  <si>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</si>
  <si>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</si>
  <si>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</si>
  <si>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</si>
  <si>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</si>
  <si>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</si>
  <si>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</si>
  <si>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</si>
  <si>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</si>
  <si>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</si>
  <si>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</si>
  <si>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</si>
  <si>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</si>
  <si>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</si>
  <si>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</si>
  <si>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</si>
  <si>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</si>
  <si>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</si>
  <si>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</si>
  <si>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</si>
  <si>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</si>
  <si>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</si>
  <si>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</si>
  <si>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</si>
  <si>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</si>
  <si>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</si>
  <si>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</si>
  <si>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</si>
  <si>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</si>
  <si>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</si>
  <si>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</si>
  <si>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</si>
  <si>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</si>
  <si>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</si>
  <si>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</si>
  <si>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</si>
  <si>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</si>
  <si>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</si>
  <si>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</si>
  <si>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</si>
  <si>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</si>
  <si>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200-210 mills/kWh</t>
  </si>
  <si>
    <t>&gt;200</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</si>
  <si>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</si>
  <si>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</si>
  <si>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</si>
  <si>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</si>
  <si>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</si>
  <si>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</si>
  <si>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</si>
  <si>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</si>
  <si>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</si>
  <si>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</si>
  <si>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</si>
  <si>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</si>
  <si>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</si>
  <si>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</si>
  <si>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</si>
  <si>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</si>
  <si>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</si>
  <si>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</si>
  <si>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</si>
  <si>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</si>
  <si>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</si>
  <si>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</si>
  <si>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</si>
  <si>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</si>
  <si>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</si>
  <si>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</si>
  <si>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</si>
  <si>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</si>
  <si>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</si>
  <si>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</si>
  <si>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&lt;=9999</t>
  </si>
  <si>
    <t>RECOMBINE MEASURE BUNDLES INTO SUPPLY CURVE INCREMENTAL</t>
  </si>
  <si>
    <t>Total per Year</t>
  </si>
  <si>
    <t>Total Cumulative</t>
  </si>
  <si>
    <t>Measure:</t>
  </si>
  <si>
    <t>Item</t>
  </si>
  <si>
    <t>Measures Described</t>
  </si>
  <si>
    <t>Energy Savings Calculation Basis</t>
  </si>
  <si>
    <t>Applicable Stock</t>
  </si>
  <si>
    <t>Baseline Saturation</t>
  </si>
  <si>
    <t>Baseline HVAC Loads</t>
  </si>
  <si>
    <t>Permutations</t>
  </si>
  <si>
    <t>Costs</t>
  </si>
  <si>
    <t>Measure Life</t>
  </si>
  <si>
    <t>Savings Shape</t>
  </si>
  <si>
    <t>Achievability Ramp Rate</t>
  </si>
  <si>
    <t>Methods &amp; Sources</t>
  </si>
  <si>
    <t>Note</t>
  </si>
  <si>
    <t>7P Updates</t>
  </si>
  <si>
    <t>VSD on vacuum pump, milk pre-cooler, EE lighting, heat recovery ventilation</t>
  </si>
  <si>
    <t>same as 6P</t>
  </si>
  <si>
    <t>based on study in New York</t>
  </si>
  <si>
    <t>Dairy</t>
  </si>
  <si>
    <t>FreeStall</t>
  </si>
  <si>
    <t>lbs milk</t>
  </si>
  <si>
    <t>REG_TOTAL_STOCK_1000# LBS Milk</t>
  </si>
  <si>
    <t>Tie stall &amp; free stall dairies, based on size of herd. Assume all growth occurs in large dairies (free stall)</t>
  </si>
  <si>
    <t>savingsYear</t>
  </si>
  <si>
    <t>BPA Sector</t>
  </si>
  <si>
    <t>BPA EndUse</t>
  </si>
  <si>
    <t>BPA Category</t>
  </si>
  <si>
    <t>BPA TAP</t>
  </si>
  <si>
    <t>SumOfkWhBusbar</t>
  </si>
  <si>
    <t>SumOfaMWBusbar</t>
  </si>
  <si>
    <t>Agricultural</t>
  </si>
  <si>
    <t>HVAC</t>
  </si>
  <si>
    <t>HVAC System Improvements</t>
  </si>
  <si>
    <t>Interactive HVAC System Improvements</t>
  </si>
  <si>
    <t>Lamps/Ballasts/Fixtures</t>
  </si>
  <si>
    <t>Motors/Drives</t>
  </si>
  <si>
    <t>Motors</t>
  </si>
  <si>
    <t>Motors/Drives Controls</t>
  </si>
  <si>
    <t>Motors/Drives Control Improvements (non-VFD)</t>
  </si>
  <si>
    <t>Motors/Drives Control Improvements (VFD)</t>
  </si>
  <si>
    <t>Unknown</t>
  </si>
  <si>
    <t>Process Loads</t>
  </si>
  <si>
    <t>Livestock Tanks</t>
  </si>
  <si>
    <t>Freeze Resistant Stock Tanks</t>
  </si>
  <si>
    <t>Refrigeration</t>
  </si>
  <si>
    <t>Packaged Refrigeration</t>
  </si>
  <si>
    <t>Packaged Refrigeration System Improvements</t>
  </si>
  <si>
    <t>Compressed Air</t>
  </si>
  <si>
    <t>Compressed Air System Improvements</t>
  </si>
  <si>
    <t>Compressed Air System Compressor Improvements (non-VFD)</t>
  </si>
  <si>
    <t>Dairy System Improvements</t>
  </si>
  <si>
    <t>Pumps and Fans</t>
  </si>
  <si>
    <t>Motors/Drives Installation on Pump System</t>
  </si>
  <si>
    <t>Refrigeration System Improvements</t>
  </si>
  <si>
    <t>based on NYSERDA study; accomplishments small so no significant change</t>
  </si>
  <si>
    <t>free stall vs tie stall (HRV only for free stall)</t>
  </si>
  <si>
    <t>NYSERDA study</t>
  </si>
  <si>
    <t>15 years</t>
  </si>
  <si>
    <t xml:space="preserve">varies for measure, based on </t>
  </si>
  <si>
    <t>1000lbs milk production Treated Max</t>
  </si>
  <si>
    <t>VSD - Vacuum Pump - Idaho FreeStall</t>
  </si>
  <si>
    <t>Plate Milk Pre-cooler - Idaho FreeStall</t>
  </si>
  <si>
    <t>Energy Efficient Lighting - Idaho FreeStall</t>
  </si>
  <si>
    <t>VSD - Vacuum Pump - Idaho TieStall</t>
  </si>
  <si>
    <t>Heat Recovery Refrigeration - Idaho TieStall</t>
  </si>
  <si>
    <t>Plate Milk Pre-Cooler - Idaho TieStall</t>
  </si>
  <si>
    <t>Energy Efficient Lighting - Idaho TieStall</t>
  </si>
  <si>
    <t>VSD - Vacuum Pump - Montana FreeStall</t>
  </si>
  <si>
    <t>Plate Milk Pre-cooler - Montana FreeStall</t>
  </si>
  <si>
    <t>Energy Efficient Lighting - Montana FreeStall</t>
  </si>
  <si>
    <t>VSD - Vacuum Pump - Montana TieStall</t>
  </si>
  <si>
    <t>Heat Recovery Refrigeration - Montana TieStall</t>
  </si>
  <si>
    <t>Plate Milk Pre-Cooler - Montana TieStall</t>
  </si>
  <si>
    <t>Energy Efficient Lighting - Montana TieStall</t>
  </si>
  <si>
    <t>VSD - Vacuum Pump - Oregon FreeStall</t>
  </si>
  <si>
    <t>Plate Milk Pre-cooler - Oregon FreeStall</t>
  </si>
  <si>
    <t>Energy Efficient Lighting - Oregon FreeStall</t>
  </si>
  <si>
    <t>VSD - Vacuum Pump - Oregon TieStall</t>
  </si>
  <si>
    <t>Heat Recovery Refrigeration - Oregon TieStall</t>
  </si>
  <si>
    <t>Plate Milk Pre-Cooler - Oregon TieStall</t>
  </si>
  <si>
    <t>Energy Efficient Lighting - Oregon TieStall</t>
  </si>
  <si>
    <t>VSD - Vacuum Pump - Washington FreeStall</t>
  </si>
  <si>
    <t>Plate Milk Pre-cooler - Washington FreeStall</t>
  </si>
  <si>
    <t>Energy Efficient Lighting - Washington FreeStall</t>
  </si>
  <si>
    <t>VSD - Vacuum Pump - Washington TieStall</t>
  </si>
  <si>
    <t>Heat Recovery Refrigeration - Washington TieStall</t>
  </si>
  <si>
    <t>Plate Milk Pre-Cooler - Washington TieStall</t>
  </si>
  <si>
    <t>Energy Efficient Lighting - Washington TieStall</t>
  </si>
  <si>
    <t>C-All-Lgt-LPD Int-All-All-E</t>
  </si>
  <si>
    <t>Shaped Savings Results; By Category and sorted by TRC BC ratio</t>
  </si>
  <si>
    <t>Savings Allocation by Category and Month for Segments 1</t>
  </si>
  <si>
    <t>Savings Allocation by Category and Month for Segments 2</t>
  </si>
  <si>
    <t>Category</t>
  </si>
  <si>
    <t>Measure</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</si>
  <si>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</si>
  <si>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</si>
  <si>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</si>
  <si>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</si>
  <si>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</si>
  <si>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</si>
  <si>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</si>
  <si>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TRC B/C Ratio</t>
  </si>
  <si>
    <t>Net Electric &amp; Gas System CO2 Avoided (Lifetime Tons)</t>
  </si>
  <si>
    <t>Wholesale KW</t>
  </si>
  <si>
    <t>Jan</t>
  </si>
  <si>
    <t>Feb</t>
  </si>
  <si>
    <t>Mar</t>
  </si>
  <si>
    <t>Apr</t>
  </si>
  <si>
    <t>May</t>
  </si>
  <si>
    <t>Jun</t>
  </si>
  <si>
    <t>Jul</t>
  </si>
  <si>
    <t>Aug</t>
  </si>
  <si>
    <t>Sep</t>
  </si>
  <si>
    <t>Oct</t>
  </si>
  <si>
    <t>Nov</t>
  </si>
  <si>
    <t>Dec</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</si>
  <si>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</si>
  <si>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</si>
  <si>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</si>
  <si>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</si>
  <si>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</si>
  <si>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</si>
  <si>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</si>
  <si>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</si>
  <si>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</si>
  <si>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</si>
  <si>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</si>
  <si>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</si>
  <si>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</si>
  <si>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</si>
  <si>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</si>
  <si>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</si>
  <si>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</si>
  <si>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</si>
  <si>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</si>
  <si>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</si>
  <si>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</si>
  <si>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</si>
  <si>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</si>
  <si>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</si>
  <si>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</si>
  <si>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</si>
  <si>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</si>
  <si>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</si>
  <si>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</si>
  <si>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</si>
  <si>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</si>
  <si>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</si>
  <si>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</si>
  <si>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</si>
  <si>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</si>
  <si>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</si>
  <si>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</si>
  <si>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</si>
  <si>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</si>
  <si>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</si>
  <si>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</si>
  <si>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</si>
  <si>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</si>
  <si>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</si>
  <si>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</si>
  <si>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</si>
  <si>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</si>
  <si>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</si>
  <si>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</si>
  <si>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</si>
  <si>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</si>
  <si>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</si>
  <si>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</si>
  <si>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</si>
  <si>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</si>
  <si>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</si>
  <si>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</si>
  <si>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</si>
  <si>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</si>
  <si>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</si>
  <si>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</si>
  <si>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</si>
  <si>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</si>
  <si>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</si>
  <si>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</si>
  <si>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</si>
  <si>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</si>
  <si>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</si>
  <si>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</si>
  <si>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</si>
  <si>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</si>
  <si>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</si>
  <si>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</si>
  <si>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</si>
  <si>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</si>
  <si>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</si>
  <si>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</si>
  <si>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</si>
  <si>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</si>
  <si>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</si>
  <si>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</si>
  <si>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</si>
  <si>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</si>
  <si>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</si>
  <si>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</si>
  <si>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</si>
  <si>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</si>
  <si>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</si>
  <si>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</si>
  <si>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</si>
  <si>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</si>
  <si>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</si>
  <si>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</si>
  <si>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</si>
  <si>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</si>
  <si>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</si>
  <si>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</si>
  <si>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</si>
  <si>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</si>
  <si>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</si>
  <si>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</si>
  <si>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</si>
  <si>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</si>
  <si>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</si>
  <si>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</si>
  <si>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</si>
  <si>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</si>
  <si>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</si>
  <si>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</si>
  <si>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</si>
  <si>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</si>
  <si>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</si>
  <si>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</si>
  <si>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</si>
  <si>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</si>
  <si>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</si>
  <si>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</si>
  <si>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</si>
  <si>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</si>
  <si>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</si>
  <si>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</si>
  <si>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</si>
  <si>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</si>
  <si>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</si>
  <si>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</si>
  <si>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</si>
  <si>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</si>
  <si>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</si>
  <si>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</si>
  <si>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</si>
  <si>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</si>
  <si>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</si>
  <si>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</si>
  <si>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</si>
  <si>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</si>
  <si>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</si>
  <si>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</si>
  <si>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</si>
  <si>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</si>
  <si>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</si>
  <si>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</si>
  <si>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</si>
  <si>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</si>
  <si>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</si>
  <si>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</si>
  <si>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</si>
  <si>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</si>
  <si>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</si>
  <si>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</si>
  <si>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</si>
  <si>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</si>
  <si>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</si>
  <si>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</si>
  <si>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</si>
  <si>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</si>
  <si>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</si>
  <si>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</si>
  <si>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</si>
  <si>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</si>
  <si>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</si>
  <si>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</si>
  <si>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</si>
  <si>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</si>
  <si>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</si>
  <si>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</si>
  <si>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</si>
  <si>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</si>
  <si>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</si>
  <si>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</si>
  <si>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</si>
  <si>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</si>
  <si>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</si>
  <si>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t>
  </si>
  <si>
    <t>Savings Allocation by Cost Bin and Month for Segments 2</t>
  </si>
  <si>
    <t>Totals Basis</t>
  </si>
  <si>
    <t>Busbar Electric Savings in kWh</t>
  </si>
  <si>
    <t>Measures with B/C &gt; 1.00</t>
  </si>
  <si>
    <t>Categories with B/C &gt; 1.00</t>
  </si>
  <si>
    <t>Supply Curve Results:  By TRC Net Levelized Cost - Net of Benefits</t>
  </si>
  <si>
    <t>Block 22: &gt; 200 mills/kWh</t>
  </si>
  <si>
    <t>500-999 Head</t>
  </si>
  <si>
    <t>1000+ head</t>
  </si>
  <si>
    <t>from 6P</t>
  </si>
  <si>
    <t>A-Da-Proc-MilkingSchedule-All-All-S</t>
  </si>
  <si>
    <t>Dairy Milking Machine Control Improvements (VFD)</t>
  </si>
  <si>
    <t>Electronically Commutated Motor (ECM)</t>
  </si>
  <si>
    <t>Energy Management Systems/System Controls</t>
  </si>
  <si>
    <t>Motors/Drives Installation on Vacuum Pumps</t>
  </si>
  <si>
    <t>Heat Recovery Improvements</t>
  </si>
  <si>
    <t>Water Heaters</t>
  </si>
  <si>
    <t>Ramp Rate</t>
  </si>
  <si>
    <t>Resource Type</t>
  </si>
  <si>
    <t>Measure Category</t>
  </si>
  <si>
    <t>Sector</t>
  </si>
  <si>
    <t>End Use</t>
  </si>
  <si>
    <t>kW per unit</t>
  </si>
  <si>
    <t>kWh per unit</t>
  </si>
  <si>
    <t>TRC Net Levelized Cost (Net of All Benefits)</t>
  </si>
  <si>
    <t>segment</t>
  </si>
  <si>
    <t>Agriculture</t>
  </si>
  <si>
    <t>End Use:</t>
  </si>
  <si>
    <t>Total Max Potential (aMW)</t>
  </si>
  <si>
    <t>Stock</t>
  </si>
  <si>
    <t>W MT Counties</t>
  </si>
  <si>
    <t>Deer Lodge</t>
  </si>
  <si>
    <t>Flathead</t>
  </si>
  <si>
    <t>Granite</t>
  </si>
  <si>
    <t>Lake</t>
  </si>
  <si>
    <t>Lewis and Clark</t>
  </si>
  <si>
    <t>Lincoln</t>
  </si>
  <si>
    <t>Mineral</t>
  </si>
  <si>
    <t>Missoula</t>
  </si>
  <si>
    <t>Powell</t>
  </si>
  <si>
    <t>Ravalli</t>
  </si>
  <si>
    <t>Sanders</t>
  </si>
  <si>
    <t>Silver Bow</t>
  </si>
  <si>
    <t>W MT Total</t>
  </si>
  <si>
    <t>MT Total</t>
  </si>
  <si>
    <t>% W MT</t>
  </si>
  <si>
    <t># of milk cow farms</t>
  </si>
  <si>
    <t>Monday, 16 March , 2015 at 4:42 PM</t>
  </si>
  <si>
    <t>Q:\SeventhPlan\Conservation Analysis\Global EE Inputs\MC Files\MC_AND_LOADSHAPE_v3.0_24segment-7P-D9 - NewSegValues.xlsx</t>
  </si>
</sst>
</file>

<file path=xl/styles.xml><?xml version="1.0" encoding="utf-8"?>
<styleSheet xmlns="http://schemas.openxmlformats.org/spreadsheetml/2006/main">
  <numFmts count="25">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0.0%"/>
    <numFmt numFmtId="165" formatCode="0.0"/>
    <numFmt numFmtId="166" formatCode="_(&quot;$&quot;* #,##0_);_(&quot;$&quot;* \(#,##0\);_(&quot;$&quot;* &quot;-&quot;??_);_(@_)"/>
    <numFmt numFmtId="167" formatCode="m/d/\ h:mm"/>
    <numFmt numFmtId="168" formatCode="0.0000"/>
    <numFmt numFmtId="169" formatCode="0.000000"/>
    <numFmt numFmtId="170" formatCode="_(* #,##0.0_);_(* \(#,##0.0\);_(* &quot;-&quot;??_);_(@_)"/>
    <numFmt numFmtId="171" formatCode="0.00000000000000"/>
    <numFmt numFmtId="172" formatCode="#,##0.0_);\(#,##0.0\)"/>
    <numFmt numFmtId="173" formatCode="General_)"/>
    <numFmt numFmtId="174" formatCode="_(* #,##0.000_);_(* \(#,##0.000\);_(* &quot;-&quot;??_);_(@_)"/>
    <numFmt numFmtId="175" formatCode="_(* #,##0_);_(* \(#,##0\);_(* &quot;-&quot;??_);_(@_)"/>
    <numFmt numFmtId="176" formatCode="#,##0.0"/>
    <numFmt numFmtId="177" formatCode="0.000"/>
    <numFmt numFmtId="178" formatCode="0_)"/>
    <numFmt numFmtId="179" formatCode="0.0_)"/>
    <numFmt numFmtId="180" formatCode="_(* #,##0.0_);_(* \(#,##0.0\);_(* &quot;-&quot;?_);_(@_)"/>
    <numFmt numFmtId="181" formatCode="mmm\-yyyy"/>
    <numFmt numFmtId="182" formatCode="0.0;[Red]\-0.0"/>
    <numFmt numFmtId="183" formatCode="\ "/>
  </numFmts>
  <fonts count="69">
    <font>
      <sz val="10"/>
      <name val="Arial"/>
    </font>
    <font>
      <sz val="10"/>
      <color theme="1"/>
      <name val="Arial"/>
      <family val="2"/>
    </font>
    <font>
      <sz val="10"/>
      <color theme="1"/>
      <name val="Arial"/>
      <family val="2"/>
    </font>
    <font>
      <sz val="10"/>
      <name val="Arial"/>
      <family val="2"/>
    </font>
    <font>
      <sz val="12"/>
      <name val="Arial"/>
      <family val="2"/>
    </font>
    <font>
      <sz val="10"/>
      <name val="Arial"/>
      <family val="2"/>
    </font>
    <font>
      <b/>
      <sz val="10"/>
      <color indexed="9"/>
      <name val="Arial"/>
      <family val="2"/>
    </font>
    <font>
      <sz val="8"/>
      <color indexed="81"/>
      <name val="Tahoma"/>
      <family val="2"/>
    </font>
    <font>
      <sz val="10"/>
      <color indexed="12"/>
      <name val="Arial"/>
      <family val="2"/>
    </font>
    <font>
      <sz val="10"/>
      <color indexed="8"/>
      <name val="Arial"/>
      <family val="2"/>
    </font>
    <font>
      <sz val="10"/>
      <color indexed="22"/>
      <name val="Arial"/>
      <family val="2"/>
    </font>
    <font>
      <b/>
      <sz val="8"/>
      <color indexed="81"/>
      <name val="Tahoma"/>
      <family val="2"/>
    </font>
    <font>
      <b/>
      <sz val="10"/>
      <name val="Arial"/>
      <family val="2"/>
    </font>
    <font>
      <b/>
      <i/>
      <sz val="10"/>
      <name val="Arial"/>
      <family val="2"/>
    </font>
    <font>
      <sz val="12"/>
      <name val="Times New Roman"/>
      <family val="1"/>
    </font>
    <font>
      <b/>
      <sz val="12"/>
      <name val="Times New Roman"/>
      <family val="1"/>
    </font>
    <font>
      <i/>
      <sz val="10"/>
      <name val="Arial"/>
      <family val="2"/>
    </font>
    <font>
      <sz val="8"/>
      <name val="Arial"/>
      <family val="2"/>
    </font>
    <font>
      <sz val="16"/>
      <name val="Helv"/>
    </font>
    <font>
      <b/>
      <sz val="16"/>
      <name val="Helv"/>
    </font>
    <font>
      <b/>
      <sz val="12"/>
      <name val="Helv"/>
    </font>
    <font>
      <sz val="14"/>
      <name val="Helv"/>
    </font>
    <font>
      <sz val="10"/>
      <name val="Helv"/>
      <charset val="20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MT"/>
      <family val="2"/>
    </font>
    <font>
      <b/>
      <sz val="11"/>
      <color theme="1"/>
      <name val="Calibri"/>
      <family val="2"/>
      <scheme val="minor"/>
    </font>
    <font>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indexed="63"/>
      <name val="Calibri"/>
      <family val="2"/>
    </font>
    <font>
      <sz val="10"/>
      <color indexed="9"/>
      <name val="Arial"/>
      <family val="2"/>
    </font>
    <font>
      <sz val="10"/>
      <name val="Times New Roman"/>
      <family val="1"/>
    </font>
    <font>
      <b/>
      <sz val="10"/>
      <color indexed="8"/>
      <name val="Arial"/>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u/>
      <sz val="7"/>
      <color indexed="12"/>
      <name val="Arial"/>
      <family val="2"/>
    </font>
    <font>
      <u/>
      <sz val="10"/>
      <color indexed="12"/>
      <name val="Times New Roman"/>
      <family val="1"/>
    </font>
    <font>
      <u/>
      <sz val="10"/>
      <color theme="10"/>
      <name val="Arial"/>
      <family val="2"/>
    </font>
    <font>
      <u/>
      <sz val="11"/>
      <color theme="10"/>
      <name val="Calibri"/>
      <family val="2"/>
    </font>
    <font>
      <u/>
      <sz val="11"/>
      <color theme="10"/>
      <name val="Calibri"/>
      <family val="2"/>
      <scheme val="minor"/>
    </font>
    <font>
      <sz val="9"/>
      <name val="Arial"/>
      <family val="2"/>
    </font>
    <font>
      <sz val="12"/>
      <name val="Helv"/>
    </font>
    <font>
      <sz val="10"/>
      <name val="MS Sans Serif"/>
      <family val="2"/>
    </font>
    <font>
      <b/>
      <sz val="18"/>
      <color indexed="62"/>
      <name val="Cambria"/>
      <family val="2"/>
    </font>
    <font>
      <sz val="10"/>
      <name val="굴림"/>
      <family val="3"/>
      <charset val="129"/>
    </font>
    <font>
      <b/>
      <sz val="10"/>
      <color theme="0"/>
      <name val="Calibri"/>
      <family val="2"/>
      <scheme val="minor"/>
    </font>
    <font>
      <sz val="10"/>
      <color theme="1"/>
      <name val="Calibri"/>
      <family val="2"/>
      <scheme val="minor"/>
    </font>
    <font>
      <sz val="10"/>
      <color indexed="10"/>
      <name val="Arial"/>
      <family val="2"/>
    </font>
    <font>
      <sz val="9"/>
      <color indexed="81"/>
      <name val="Tahoma"/>
      <family val="2"/>
    </font>
    <font>
      <sz val="9"/>
      <color theme="1"/>
      <name val="Arial"/>
      <family val="2"/>
    </font>
    <font>
      <b/>
      <sz val="9"/>
      <color indexed="81"/>
      <name val="Tahoma"/>
      <family val="2"/>
    </font>
  </fonts>
  <fills count="8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47"/>
        <bgColor indexed="64"/>
      </patternFill>
    </fill>
    <fill>
      <patternFill patternType="solid">
        <fgColor indexed="8"/>
        <bgColor indexed="64"/>
      </patternFill>
    </fill>
    <fill>
      <patternFill patternType="solid">
        <fgColor indexed="43"/>
      </patternFill>
    </fill>
    <fill>
      <patternFill patternType="solid">
        <fgColor indexed="26"/>
      </patternFill>
    </fill>
    <fill>
      <patternFill patternType="solid">
        <fgColor indexed="18"/>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solid">
        <fgColor indexed="15"/>
        <bgColor indexed="64"/>
      </patternFill>
    </fill>
    <fill>
      <patternFill patternType="solid">
        <fgColor indexed="11"/>
        <bgColor indexed="64"/>
      </patternFill>
    </fill>
    <fill>
      <patternFill patternType="solid">
        <fgColor indexed="42"/>
        <bgColor indexed="64"/>
      </patternFill>
    </fill>
    <fill>
      <patternFill patternType="solid">
        <fgColor indexed="12"/>
        <bgColor indexed="64"/>
      </patternFill>
    </fill>
    <fill>
      <patternFill patternType="solid">
        <fgColor indexed="45"/>
        <bgColor indexed="64"/>
      </patternFill>
    </fill>
    <fill>
      <patternFill patternType="solid">
        <fgColor indexed="13"/>
        <bgColor indexed="64"/>
      </patternFill>
    </fill>
    <fill>
      <patternFill patternType="solid">
        <fgColor indexed="26"/>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indexed="9"/>
      </patternFill>
    </fill>
    <fill>
      <patternFill patternType="solid">
        <fgColor indexed="8"/>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45"/>
        <bgColor indexed="45"/>
      </patternFill>
    </fill>
    <fill>
      <patternFill patternType="solid">
        <fgColor indexed="29"/>
        <bgColor indexed="29"/>
      </patternFill>
    </fill>
    <fill>
      <patternFill patternType="solid">
        <fgColor indexed="42"/>
        <bgColor indexed="42"/>
      </patternFill>
    </fill>
    <fill>
      <patternFill patternType="solid">
        <fgColor indexed="11"/>
        <bgColor indexed="11"/>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theme="4"/>
        <bgColor theme="4"/>
      </patternFill>
    </fill>
    <fill>
      <patternFill patternType="solid">
        <fgColor theme="4" tint="0.79998168889431442"/>
        <bgColor theme="4" tint="0.79998168889431442"/>
      </patternFill>
    </fill>
    <fill>
      <patternFill patternType="solid">
        <fgColor indexed="57"/>
        <bgColor indexed="64"/>
      </patternFill>
    </fill>
    <fill>
      <patternFill patternType="solid">
        <fgColor indexed="60"/>
        <bgColor indexed="64"/>
      </patternFill>
    </fill>
    <fill>
      <patternFill patternType="solid">
        <fgColor indexed="31"/>
        <bgColor indexed="64"/>
      </patternFill>
    </fill>
    <fill>
      <patternFill patternType="solid">
        <fgColor theme="0" tint="-0.24997711111789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FFCC"/>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style="thin">
        <color indexed="64"/>
      </top>
      <bottom style="thin">
        <color indexed="64"/>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s>
  <cellStyleXfs count="577">
    <xf numFmtId="0" fontId="0" fillId="0" borderId="0">
      <alignment readingOrder="1"/>
    </xf>
    <xf numFmtId="0" fontId="22"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7" fillId="21" borderId="2"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5" fillId="22" borderId="0" applyNumberFormat="0" applyAlignment="0">
      <alignment horizontal="right"/>
    </xf>
    <xf numFmtId="0" fontId="3" fillId="23" borderId="0" applyNumberFormat="0" applyAlignment="0"/>
    <xf numFmtId="167" fontId="14" fillId="0" borderId="0"/>
    <xf numFmtId="0" fontId="28" fillId="0" borderId="0" applyNumberFormat="0" applyFill="0" applyBorder="0" applyAlignment="0" applyProtection="0"/>
    <xf numFmtId="0" fontId="29" fillId="4" borderId="0" applyNumberFormat="0" applyBorder="0" applyAlignment="0" applyProtection="0"/>
    <xf numFmtId="0" fontId="15" fillId="0" borderId="0">
      <alignment horizontal="center" wrapText="1"/>
    </xf>
    <xf numFmtId="0" fontId="30" fillId="0" borderId="3" applyNumberFormat="0" applyFill="0" applyAlignment="0" applyProtection="0"/>
    <xf numFmtId="0" fontId="6" fillId="24" borderId="4">
      <alignment horizontal="left"/>
    </xf>
    <xf numFmtId="0" fontId="31" fillId="0" borderId="5" applyNumberFormat="0" applyFill="0" applyAlignment="0" applyProtection="0"/>
    <xf numFmtId="0" fontId="31" fillId="0" borderId="0" applyNumberFormat="0" applyFill="0" applyBorder="0" applyAlignment="0" applyProtection="0"/>
    <xf numFmtId="0" fontId="32" fillId="7" borderId="1" applyNumberFormat="0" applyAlignment="0" applyProtection="0"/>
    <xf numFmtId="0" fontId="33" fillId="0" borderId="6" applyNumberFormat="0" applyFill="0" applyAlignment="0" applyProtection="0"/>
    <xf numFmtId="0" fontId="34" fillId="25" borderId="0" applyNumberFormat="0" applyBorder="0" applyAlignment="0" applyProtection="0"/>
    <xf numFmtId="0" fontId="3" fillId="0" borderId="0"/>
    <xf numFmtId="0" fontId="4" fillId="0" borderId="0"/>
    <xf numFmtId="0" fontId="3" fillId="0" borderId="0"/>
    <xf numFmtId="0" fontId="3" fillId="0" borderId="0"/>
    <xf numFmtId="0" fontId="3" fillId="0" borderId="0"/>
    <xf numFmtId="0" fontId="3" fillId="0" borderId="0"/>
    <xf numFmtId="0" fontId="5" fillId="26" borderId="7" applyNumberFormat="0" applyFont="0" applyAlignment="0" applyProtection="0"/>
    <xf numFmtId="0" fontId="35" fillId="20" borderId="8" applyNumberFormat="0" applyAlignment="0" applyProtection="0"/>
    <xf numFmtId="9" fontId="3" fillId="0" borderId="0" applyFon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5" fillId="0" borderId="0"/>
    <xf numFmtId="0" fontId="5" fillId="0" borderId="0"/>
    <xf numFmtId="0" fontId="5" fillId="0" borderId="0">
      <alignment readingOrder="1"/>
    </xf>
    <xf numFmtId="0" fontId="5" fillId="0" borderId="0">
      <alignment readingOrder="1"/>
    </xf>
    <xf numFmtId="0" fontId="4" fillId="0" borderId="0"/>
    <xf numFmtId="0" fontId="23" fillId="2" borderId="0" applyNumberFormat="0" applyBorder="0" applyAlignment="0" applyProtection="0"/>
    <xf numFmtId="0" fontId="23" fillId="44" borderId="0" applyNumberFormat="0" applyBorder="0" applyAlignment="0" applyProtection="0"/>
    <xf numFmtId="0" fontId="45" fillId="45" borderId="0" applyNumberFormat="0" applyBorder="0" applyAlignment="0" applyProtection="0"/>
    <xf numFmtId="0" fontId="23" fillId="3" borderId="0" applyNumberFormat="0" applyBorder="0" applyAlignment="0" applyProtection="0"/>
    <xf numFmtId="0" fontId="45" fillId="7"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45" fillId="26" borderId="0" applyNumberFormat="0" applyBorder="0" applyAlignment="0" applyProtection="0"/>
    <xf numFmtId="0" fontId="23" fillId="5" borderId="0" applyNumberFormat="0" applyBorder="0" applyAlignment="0" applyProtection="0"/>
    <xf numFmtId="0" fontId="23" fillId="44" borderId="0" applyNumberFormat="0" applyBorder="0" applyAlignment="0" applyProtection="0"/>
    <xf numFmtId="0" fontId="45" fillId="45" borderId="0" applyNumberFormat="0" applyBorder="0" applyAlignment="0" applyProtection="0"/>
    <xf numFmtId="0" fontId="23" fillId="6" borderId="0" applyNumberFormat="0" applyBorder="0" applyAlignment="0" applyProtection="0"/>
    <xf numFmtId="0" fontId="45" fillId="6" borderId="0" applyNumberFormat="0" applyBorder="0" applyAlignment="0" applyProtection="0"/>
    <xf numFmtId="0" fontId="23" fillId="7" borderId="0" applyNumberFormat="0" applyBorder="0" applyAlignment="0" applyProtection="0"/>
    <xf numFmtId="0" fontId="45" fillId="7" borderId="0" applyNumberFormat="0" applyBorder="0" applyAlignment="0" applyProtection="0"/>
    <xf numFmtId="0" fontId="23" fillId="8" borderId="0" applyNumberFormat="0" applyBorder="0" applyAlignment="0" applyProtection="0"/>
    <xf numFmtId="0" fontId="23" fillId="20" borderId="0" applyNumberFormat="0" applyBorder="0" applyAlignment="0" applyProtection="0"/>
    <xf numFmtId="0" fontId="45" fillId="20"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45" fillId="9" borderId="0" applyNumberFormat="0" applyBorder="0" applyAlignment="0" applyProtection="0"/>
    <xf numFmtId="0" fontId="23" fillId="10" borderId="0" applyNumberFormat="0" applyBorder="0" applyAlignment="0" applyProtection="0"/>
    <xf numFmtId="0" fontId="23" fillId="3" borderId="0" applyNumberFormat="0" applyBorder="0" applyAlignment="0" applyProtection="0"/>
    <xf numFmtId="0" fontId="45" fillId="25" borderId="0" applyNumberFormat="0" applyBorder="0" applyAlignment="0" applyProtection="0"/>
    <xf numFmtId="0" fontId="23" fillId="5" borderId="0" applyNumberFormat="0" applyBorder="0" applyAlignment="0" applyProtection="0"/>
    <xf numFmtId="0" fontId="23" fillId="20" borderId="0" applyNumberFormat="0" applyBorder="0" applyAlignment="0" applyProtection="0"/>
    <xf numFmtId="0" fontId="45" fillId="20" borderId="0" applyNumberFormat="0" applyBorder="0" applyAlignment="0" applyProtection="0"/>
    <xf numFmtId="0" fontId="23" fillId="8" borderId="0" applyNumberFormat="0" applyBorder="0" applyAlignment="0" applyProtection="0"/>
    <xf numFmtId="0" fontId="45" fillId="8" borderId="0" applyNumberFormat="0" applyBorder="0" applyAlignment="0" applyProtection="0"/>
    <xf numFmtId="0" fontId="23" fillId="11" borderId="0" applyNumberFormat="0" applyBorder="0" applyAlignment="0" applyProtection="0"/>
    <xf numFmtId="0" fontId="23" fillId="7" borderId="0" applyNumberFormat="0" applyBorder="0" applyAlignment="0" applyProtection="0"/>
    <xf numFmtId="0" fontId="45" fillId="7" borderId="0" applyNumberFormat="0" applyBorder="0" applyAlignment="0" applyProtection="0"/>
    <xf numFmtId="0" fontId="24" fillId="12"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9" borderId="0" applyNumberFormat="0" applyBorder="0" applyAlignment="0" applyProtection="0"/>
    <xf numFmtId="0" fontId="24" fillId="3"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3"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9" fillId="46" borderId="0" applyNumberFormat="0" applyBorder="0" applyAlignment="0" applyProtection="0"/>
    <xf numFmtId="0" fontId="9" fillId="47" borderId="0" applyNumberFormat="0" applyBorder="0" applyAlignment="0" applyProtection="0"/>
    <xf numFmtId="0" fontId="46" fillId="48" borderId="0" applyNumberFormat="0" applyBorder="0" applyAlignment="0" applyProtection="0"/>
    <xf numFmtId="0" fontId="24" fillId="16"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9" fillId="49" borderId="0" applyNumberFormat="0" applyBorder="0" applyAlignment="0" applyProtection="0"/>
    <xf numFmtId="0" fontId="9" fillId="50" borderId="0" applyNumberFormat="0" applyBorder="0" applyAlignment="0" applyProtection="0"/>
    <xf numFmtId="0" fontId="46" fillId="50"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9" fillId="51" borderId="0" applyNumberFormat="0" applyBorder="0" applyAlignment="0" applyProtection="0"/>
    <xf numFmtId="0" fontId="9" fillId="52" borderId="0" applyNumberFormat="0" applyBorder="0" applyAlignment="0" applyProtection="0"/>
    <xf numFmtId="0" fontId="46" fillId="52" borderId="0" applyNumberFormat="0" applyBorder="0" applyAlignment="0" applyProtection="0"/>
    <xf numFmtId="0" fontId="24" fillId="18" borderId="0" applyNumberFormat="0" applyBorder="0" applyAlignment="0" applyProtection="0"/>
    <xf numFmtId="0" fontId="24" fillId="3" borderId="0" applyNumberFormat="0" applyBorder="0" applyAlignment="0" applyProtection="0"/>
    <xf numFmtId="0" fontId="24" fillId="18" borderId="0" applyNumberFormat="0" applyBorder="0" applyAlignment="0" applyProtection="0"/>
    <xf numFmtId="0" fontId="9" fillId="53" borderId="0" applyNumberFormat="0" applyBorder="0" applyAlignment="0" applyProtection="0"/>
    <xf numFmtId="0" fontId="9" fillId="53" borderId="0" applyNumberFormat="0" applyBorder="0" applyAlignment="0" applyProtection="0"/>
    <xf numFmtId="0" fontId="46" fillId="54" borderId="0" applyNumberFormat="0" applyBorder="0" applyAlignment="0" applyProtection="0"/>
    <xf numFmtId="0" fontId="24" fillId="13" borderId="0" applyNumberFormat="0" applyBorder="0" applyAlignment="0" applyProtection="0"/>
    <xf numFmtId="0" fontId="24" fillId="55" borderId="0" applyNumberFormat="0" applyBorder="0" applyAlignment="0" applyProtection="0"/>
    <xf numFmtId="0" fontId="24" fillId="55" borderId="0" applyNumberFormat="0" applyBorder="0" applyAlignment="0" applyProtection="0"/>
    <xf numFmtId="0" fontId="9" fillId="56" borderId="0" applyNumberFormat="0" applyBorder="0" applyAlignment="0" applyProtection="0"/>
    <xf numFmtId="0" fontId="9" fillId="47" borderId="0" applyNumberFormat="0" applyBorder="0" applyAlignment="0" applyProtection="0"/>
    <xf numFmtId="0" fontId="46" fillId="57"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46" fillId="60"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5" fillId="5" borderId="0" applyNumberFormat="0" applyBorder="0" applyAlignment="0" applyProtection="0"/>
    <xf numFmtId="0" fontId="25" fillId="3" borderId="0" applyNumberFormat="0" applyBorder="0" applyAlignment="0" applyProtection="0"/>
    <xf numFmtId="0" fontId="26" fillId="20" borderId="1" applyNumberFormat="0" applyAlignment="0" applyProtection="0"/>
    <xf numFmtId="0" fontId="26" fillId="44" borderId="1" applyNumberFormat="0" applyAlignment="0" applyProtection="0"/>
    <xf numFmtId="0" fontId="26" fillId="44" borderId="1" applyNumberFormat="0" applyAlignment="0" applyProtection="0"/>
    <xf numFmtId="0" fontId="27" fillId="21" borderId="2" applyNumberFormat="0" applyAlignment="0" applyProtection="0"/>
    <xf numFmtId="0" fontId="27" fillId="21" borderId="2" applyNumberFormat="0" applyAlignment="0" applyProtection="0"/>
    <xf numFmtId="41" fontId="4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5"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44" fontId="41" fillId="0" borderId="0" applyFont="0" applyFill="0" applyBorder="0" applyAlignment="0" applyProtection="0"/>
    <xf numFmtId="0" fontId="5" fillId="22" borderId="0" applyNumberFormat="0" applyAlignment="0">
      <alignment horizontal="right"/>
    </xf>
    <xf numFmtId="0" fontId="5" fillId="22" borderId="0" applyNumberFormat="0" applyAlignment="0">
      <alignment horizontal="right"/>
    </xf>
    <xf numFmtId="0" fontId="5" fillId="22" borderId="0" applyNumberFormat="0" applyAlignment="0">
      <alignment horizontal="right"/>
    </xf>
    <xf numFmtId="0" fontId="5" fillId="22" borderId="0" applyNumberFormat="0" applyAlignment="0">
      <alignment horizontal="right"/>
    </xf>
    <xf numFmtId="0" fontId="5" fillId="22" borderId="0" applyNumberFormat="0" applyAlignment="0">
      <alignment horizontal="right"/>
    </xf>
    <xf numFmtId="0" fontId="5" fillId="23" borderId="0" applyNumberFormat="0" applyAlignment="0"/>
    <xf numFmtId="0" fontId="48" fillId="61" borderId="0" applyNumberFormat="0" applyBorder="0" applyAlignment="0" applyProtection="0"/>
    <xf numFmtId="0" fontId="48" fillId="62" borderId="0" applyNumberFormat="0" applyBorder="0" applyAlignment="0" applyProtection="0"/>
    <xf numFmtId="0" fontId="48" fillId="63" borderId="0" applyNumberFormat="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4" borderId="0" applyNumberFormat="0" applyBorder="0" applyAlignment="0" applyProtection="0"/>
    <xf numFmtId="0" fontId="29" fillId="4" borderId="0" applyNumberFormat="0" applyBorder="0" applyAlignment="0" applyProtection="0"/>
    <xf numFmtId="0" fontId="30" fillId="0" borderId="3" applyNumberFormat="0" applyFill="0" applyAlignment="0" applyProtection="0"/>
    <xf numFmtId="0" fontId="49" fillId="0" borderId="76" applyNumberFormat="0" applyFill="0" applyAlignment="0" applyProtection="0"/>
    <xf numFmtId="0" fontId="49" fillId="0" borderId="76" applyNumberFormat="0" applyFill="0" applyAlignment="0" applyProtection="0"/>
    <xf numFmtId="0" fontId="50" fillId="0" borderId="77" applyNumberFormat="0" applyFill="0" applyAlignment="0" applyProtection="0"/>
    <xf numFmtId="0" fontId="50" fillId="0" borderId="77" applyNumberFormat="0" applyFill="0" applyAlignment="0" applyProtection="0"/>
    <xf numFmtId="0" fontId="31" fillId="0" borderId="5" applyNumberFormat="0" applyFill="0" applyAlignment="0" applyProtection="0"/>
    <xf numFmtId="0" fontId="51" fillId="0" borderId="78" applyNumberFormat="0" applyFill="0" applyAlignment="0" applyProtection="0"/>
    <xf numFmtId="0" fontId="51" fillId="0" borderId="78" applyNumberFormat="0" applyFill="0" applyAlignment="0" applyProtection="0"/>
    <xf numFmtId="0" fontId="3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32" fillId="7" borderId="1" applyNumberFormat="0" applyAlignment="0" applyProtection="0"/>
    <xf numFmtId="0" fontId="32" fillId="7" borderId="1" applyNumberFormat="0" applyAlignment="0" applyProtection="0"/>
    <xf numFmtId="0" fontId="33" fillId="0" borderId="6" applyNumberFormat="0" applyFill="0" applyAlignment="0" applyProtection="0"/>
    <xf numFmtId="0" fontId="33" fillId="0" borderId="6" applyNumberFormat="0" applyFill="0" applyAlignment="0" applyProtection="0"/>
    <xf numFmtId="0" fontId="34" fillId="25" borderId="0" applyNumberFormat="0" applyBorder="0" applyAlignment="0" applyProtection="0"/>
    <xf numFmtId="0" fontId="34" fillId="25" borderId="0" applyNumberFormat="0" applyBorder="0" applyAlignment="0" applyProtection="0"/>
    <xf numFmtId="0" fontId="23" fillId="0" borderId="0"/>
    <xf numFmtId="0" fontId="5" fillId="0" borderId="0"/>
    <xf numFmtId="0" fontId="23" fillId="0" borderId="0"/>
    <xf numFmtId="0" fontId="23" fillId="0" borderId="0"/>
    <xf numFmtId="0" fontId="5" fillId="0" borderId="0">
      <alignment readingOrder="1"/>
    </xf>
    <xf numFmtId="0" fontId="5" fillId="0" borderId="0"/>
    <xf numFmtId="0" fontId="5" fillId="0" borderId="0">
      <alignment readingOrder="1"/>
    </xf>
    <xf numFmtId="0" fontId="41" fillId="0" borderId="0"/>
    <xf numFmtId="0" fontId="41" fillId="0" borderId="0"/>
    <xf numFmtId="0" fontId="41" fillId="0" borderId="0"/>
    <xf numFmtId="0" fontId="2" fillId="0" borderId="0"/>
    <xf numFmtId="0" fontId="2" fillId="0" borderId="0"/>
    <xf numFmtId="0" fontId="41" fillId="0" borderId="0"/>
    <xf numFmtId="0" fontId="41" fillId="0" borderId="0"/>
    <xf numFmtId="0" fontId="2" fillId="0" borderId="0"/>
    <xf numFmtId="0" fontId="2"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5" fillId="0" borderId="0">
      <alignment readingOrder="1"/>
    </xf>
    <xf numFmtId="0" fontId="41" fillId="0" borderId="0"/>
    <xf numFmtId="0" fontId="41" fillId="0" borderId="0"/>
    <xf numFmtId="0" fontId="5" fillId="0" borderId="0"/>
    <xf numFmtId="0" fontId="5" fillId="0" borderId="0"/>
    <xf numFmtId="0" fontId="5" fillId="0" borderId="0"/>
    <xf numFmtId="0" fontId="5" fillId="0" borderId="0"/>
    <xf numFmtId="0" fontId="5" fillId="0" borderId="0"/>
    <xf numFmtId="0" fontId="5" fillId="0" borderId="0">
      <alignment readingOrder="1"/>
    </xf>
    <xf numFmtId="0" fontId="5" fillId="0" borderId="0"/>
    <xf numFmtId="0" fontId="5" fillId="0" borderId="0"/>
    <xf numFmtId="0" fontId="23" fillId="0" borderId="0"/>
    <xf numFmtId="0" fontId="41" fillId="0" borderId="0"/>
    <xf numFmtId="0" fontId="41" fillId="0" borderId="0"/>
    <xf numFmtId="0" fontId="41" fillId="0" borderId="0"/>
    <xf numFmtId="0" fontId="41" fillId="0" borderId="0"/>
    <xf numFmtId="0" fontId="5" fillId="0" borderId="0">
      <alignment readingOrder="1"/>
    </xf>
    <xf numFmtId="0" fontId="5" fillId="0" borderId="0">
      <alignment readingOrder="1"/>
    </xf>
    <xf numFmtId="0" fontId="5" fillId="0" borderId="0">
      <alignment readingOrder="1"/>
    </xf>
    <xf numFmtId="0" fontId="41" fillId="0" borderId="0"/>
    <xf numFmtId="0" fontId="41" fillId="0" borderId="0"/>
    <xf numFmtId="0" fontId="5" fillId="0" borderId="0">
      <alignment readingOrder="1"/>
    </xf>
    <xf numFmtId="0" fontId="23" fillId="0" borderId="0"/>
    <xf numFmtId="0" fontId="5" fillId="0" borderId="0">
      <alignment readingOrder="1"/>
    </xf>
    <xf numFmtId="0" fontId="41" fillId="0" borderId="0"/>
    <xf numFmtId="0" fontId="41" fillId="0" borderId="0"/>
    <xf numFmtId="0" fontId="5" fillId="0" borderId="0">
      <alignment readingOrder="1"/>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alignment readingOrder="1"/>
    </xf>
    <xf numFmtId="0" fontId="5" fillId="0" borderId="0"/>
    <xf numFmtId="0" fontId="23" fillId="0" borderId="0"/>
    <xf numFmtId="0" fontId="58" fillId="0" borderId="0"/>
    <xf numFmtId="0" fontId="59" fillId="0" borderId="0"/>
    <xf numFmtId="0" fontId="59" fillId="0" borderId="0"/>
    <xf numFmtId="0" fontId="59" fillId="0" borderId="0"/>
    <xf numFmtId="0" fontId="5" fillId="0" borderId="0"/>
    <xf numFmtId="0" fontId="5" fillId="0" borderId="0"/>
    <xf numFmtId="0" fontId="5" fillId="0" borderId="0"/>
    <xf numFmtId="0" fontId="59" fillId="0" borderId="0"/>
    <xf numFmtId="0" fontId="59" fillId="0" borderId="0"/>
    <xf numFmtId="0" fontId="59" fillId="0" borderId="0"/>
    <xf numFmtId="0" fontId="5" fillId="0" borderId="0"/>
    <xf numFmtId="0" fontId="5" fillId="0" borderId="0">
      <alignment readingOrder="1"/>
    </xf>
    <xf numFmtId="0" fontId="5" fillId="0" borderId="0"/>
    <xf numFmtId="0" fontId="5" fillId="0" borderId="0"/>
    <xf numFmtId="0" fontId="5" fillId="0" borderId="0"/>
    <xf numFmtId="0" fontId="5" fillId="0" borderId="0">
      <alignment readingOrder="1"/>
    </xf>
    <xf numFmtId="0" fontId="5" fillId="0" borderId="0"/>
    <xf numFmtId="0" fontId="5" fillId="0" borderId="0"/>
    <xf numFmtId="0" fontId="23"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60" fillId="0" borderId="0"/>
    <xf numFmtId="0" fontId="5" fillId="0" borderId="0"/>
    <xf numFmtId="0" fontId="41" fillId="0" borderId="0"/>
    <xf numFmtId="0" fontId="5" fillId="0" borderId="0" applyNumberFormat="0" applyFill="0" applyBorder="0" applyAlignment="0" applyProtection="0"/>
    <xf numFmtId="0" fontId="41" fillId="0" borderId="0"/>
    <xf numFmtId="0" fontId="41" fillId="0" borderId="0"/>
    <xf numFmtId="0" fontId="47" fillId="0" borderId="0"/>
    <xf numFmtId="0" fontId="41" fillId="0" borderId="0"/>
    <xf numFmtId="0" fontId="41" fillId="0" borderId="0"/>
    <xf numFmtId="0" fontId="5" fillId="0" borderId="0">
      <alignment readingOrder="1"/>
    </xf>
    <xf numFmtId="0" fontId="41" fillId="0" borderId="0"/>
    <xf numFmtId="0" fontId="41" fillId="0" borderId="0"/>
    <xf numFmtId="0" fontId="41" fillId="0" borderId="0"/>
    <xf numFmtId="0" fontId="41" fillId="0" borderId="0"/>
    <xf numFmtId="0" fontId="4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 fillId="0" borderId="0"/>
    <xf numFmtId="0" fontId="41" fillId="0" borderId="0"/>
    <xf numFmtId="0" fontId="41" fillId="0" borderId="0"/>
    <xf numFmtId="0" fontId="5" fillId="0" borderId="0"/>
    <xf numFmtId="0" fontId="23" fillId="0" borderId="0"/>
    <xf numFmtId="0" fontId="23" fillId="0" borderId="0"/>
    <xf numFmtId="0" fontId="41" fillId="0" borderId="0"/>
    <xf numFmtId="0" fontId="60" fillId="0" borderId="0"/>
    <xf numFmtId="0" fontId="23" fillId="0" borderId="0"/>
    <xf numFmtId="0" fontId="23" fillId="0" borderId="0"/>
    <xf numFmtId="0" fontId="23" fillId="0" borderId="0"/>
    <xf numFmtId="0" fontId="23" fillId="0" borderId="0"/>
    <xf numFmtId="0" fontId="5" fillId="0" borderId="0">
      <alignment readingOrder="1"/>
    </xf>
    <xf numFmtId="0" fontId="5" fillId="0" borderId="0">
      <alignment readingOrder="1"/>
    </xf>
    <xf numFmtId="0" fontId="5" fillId="0" borderId="0">
      <alignment readingOrder="1"/>
    </xf>
    <xf numFmtId="0" fontId="23" fillId="26" borderId="7" applyNumberFormat="0" applyFont="0" applyAlignment="0" applyProtection="0"/>
    <xf numFmtId="0" fontId="5" fillId="26" borderId="7" applyNumberFormat="0" applyFont="0" applyAlignment="0" applyProtection="0"/>
    <xf numFmtId="0" fontId="23" fillId="26" borderId="7" applyNumberFormat="0" applyFont="0" applyAlignment="0" applyProtection="0"/>
    <xf numFmtId="0" fontId="35" fillId="20" borderId="8" applyNumberFormat="0" applyAlignment="0" applyProtection="0"/>
    <xf numFmtId="0" fontId="35" fillId="44" borderId="8" applyNumberFormat="0" applyAlignment="0" applyProtection="0"/>
    <xf numFmtId="0" fontId="35" fillId="44" borderId="8"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0" fontId="36" fillId="0" borderId="0" applyNumberFormat="0" applyFill="0" applyBorder="0" applyAlignment="0" applyProtection="0"/>
    <xf numFmtId="0" fontId="22" fillId="0" borderId="0"/>
    <xf numFmtId="181" fontId="5" fillId="0" borderId="0" applyFill="0" applyBorder="0" applyAlignment="0" applyProtection="0">
      <alignment wrapText="1"/>
    </xf>
    <xf numFmtId="0" fontId="36"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37" fillId="0" borderId="9" applyNumberFormat="0" applyFill="0" applyAlignment="0" applyProtection="0"/>
    <xf numFmtId="0" fontId="37" fillId="0" borderId="79" applyNumberFormat="0" applyFill="0" applyAlignment="0" applyProtection="0"/>
    <xf numFmtId="0" fontId="35" fillId="0" borderId="79"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62" fillId="0" borderId="0">
      <alignment vertical="center"/>
    </xf>
    <xf numFmtId="0" fontId="3" fillId="0" borderId="0">
      <alignment readingOrder="1"/>
    </xf>
    <xf numFmtId="43" fontId="3" fillId="0" borderId="0" applyFont="0" applyFill="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0"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41" fillId="72" borderId="0" applyNumberFormat="0" applyBorder="0" applyAlignment="0" applyProtection="0"/>
    <xf numFmtId="0" fontId="41" fillId="72" borderId="0" applyNumberFormat="0" applyBorder="0" applyAlignment="0" applyProtection="0"/>
    <xf numFmtId="0" fontId="41" fillId="72" borderId="0" applyNumberFormat="0" applyBorder="0" applyAlignment="0" applyProtection="0"/>
    <xf numFmtId="0" fontId="41" fillId="72" borderId="0" applyNumberFormat="0" applyBorder="0" applyAlignment="0" applyProtection="0"/>
    <xf numFmtId="0" fontId="41" fillId="73" borderId="0" applyNumberFormat="0" applyBorder="0" applyAlignment="0" applyProtection="0"/>
    <xf numFmtId="0" fontId="41" fillId="73" borderId="0" applyNumberFormat="0" applyBorder="0" applyAlignment="0" applyProtection="0"/>
    <xf numFmtId="0" fontId="41" fillId="73" borderId="0" applyNumberFormat="0" applyBorder="0" applyAlignment="0" applyProtection="0"/>
    <xf numFmtId="0" fontId="41" fillId="73" borderId="0" applyNumberFormat="0" applyBorder="0" applyAlignment="0" applyProtection="0"/>
    <xf numFmtId="0" fontId="41" fillId="74" borderId="0" applyNumberFormat="0" applyBorder="0" applyAlignment="0" applyProtection="0"/>
    <xf numFmtId="0" fontId="41" fillId="74" borderId="0" applyNumberFormat="0" applyBorder="0" applyAlignment="0" applyProtection="0"/>
    <xf numFmtId="0" fontId="41" fillId="74" borderId="0" applyNumberFormat="0" applyBorder="0" applyAlignment="0" applyProtection="0"/>
    <xf numFmtId="0" fontId="41" fillId="74" borderId="0" applyNumberFormat="0" applyBorder="0" applyAlignment="0" applyProtection="0"/>
    <xf numFmtId="0" fontId="41" fillId="74" borderId="0" applyNumberFormat="0" applyBorder="0" applyAlignment="0" applyProtection="0"/>
    <xf numFmtId="0" fontId="41" fillId="75" borderId="0" applyNumberFormat="0" applyBorder="0" applyAlignment="0" applyProtection="0"/>
    <xf numFmtId="0" fontId="41" fillId="75" borderId="0" applyNumberFormat="0" applyBorder="0" applyAlignment="0" applyProtection="0"/>
    <xf numFmtId="0" fontId="41" fillId="75" borderId="0" applyNumberFormat="0" applyBorder="0" applyAlignment="0" applyProtection="0"/>
    <xf numFmtId="0" fontId="41" fillId="75" borderId="0" applyNumberFormat="0" applyBorder="0" applyAlignment="0" applyProtection="0"/>
    <xf numFmtId="0" fontId="41" fillId="75" borderId="0" applyNumberFormat="0" applyBorder="0" applyAlignment="0" applyProtection="0"/>
    <xf numFmtId="0" fontId="41" fillId="76" borderId="0" applyNumberFormat="0" applyBorder="0" applyAlignment="0" applyProtection="0"/>
    <xf numFmtId="0" fontId="41" fillId="76" borderId="0" applyNumberFormat="0" applyBorder="0" applyAlignment="0" applyProtection="0"/>
    <xf numFmtId="0" fontId="41" fillId="76" borderId="0" applyNumberFormat="0" applyBorder="0" applyAlignment="0" applyProtection="0"/>
    <xf numFmtId="0" fontId="41" fillId="76" borderId="0" applyNumberFormat="0" applyBorder="0" applyAlignment="0" applyProtection="0"/>
    <xf numFmtId="0" fontId="41" fillId="77" borderId="0" applyNumberFormat="0" applyBorder="0" applyAlignment="0" applyProtection="0"/>
    <xf numFmtId="0" fontId="41" fillId="77" borderId="0" applyNumberFormat="0" applyBorder="0" applyAlignment="0" applyProtection="0"/>
    <xf numFmtId="0" fontId="41" fillId="77" borderId="0" applyNumberFormat="0" applyBorder="0" applyAlignment="0" applyProtection="0"/>
    <xf numFmtId="0" fontId="41" fillId="77" borderId="0" applyNumberFormat="0" applyBorder="0" applyAlignment="0" applyProtection="0"/>
    <xf numFmtId="0" fontId="41" fillId="78" borderId="0" applyNumberFormat="0" applyBorder="0" applyAlignment="0" applyProtection="0"/>
    <xf numFmtId="0" fontId="41" fillId="78" borderId="0" applyNumberFormat="0" applyBorder="0" applyAlignment="0" applyProtection="0"/>
    <xf numFmtId="0" fontId="41" fillId="78" borderId="0" applyNumberFormat="0" applyBorder="0" applyAlignment="0" applyProtection="0"/>
    <xf numFmtId="0" fontId="41" fillId="78" borderId="0" applyNumberFormat="0" applyBorder="0" applyAlignment="0" applyProtection="0"/>
    <xf numFmtId="0" fontId="41" fillId="79" borderId="0" applyNumberFormat="0" applyBorder="0" applyAlignment="0" applyProtection="0"/>
    <xf numFmtId="0" fontId="41" fillId="79" borderId="0" applyNumberFormat="0" applyBorder="0" applyAlignment="0" applyProtection="0"/>
    <xf numFmtId="0" fontId="41" fillId="79" borderId="0" applyNumberFormat="0" applyBorder="0" applyAlignment="0" applyProtection="0"/>
    <xf numFmtId="0" fontId="41" fillId="79" borderId="0" applyNumberFormat="0" applyBorder="0" applyAlignment="0" applyProtection="0"/>
    <xf numFmtId="0" fontId="41" fillId="80" borderId="0" applyNumberFormat="0" applyBorder="0" applyAlignment="0" applyProtection="0"/>
    <xf numFmtId="0" fontId="41" fillId="80" borderId="0" applyNumberFormat="0" applyBorder="0" applyAlignment="0" applyProtection="0"/>
    <xf numFmtId="0" fontId="41" fillId="80" borderId="0" applyNumberFormat="0" applyBorder="0" applyAlignment="0" applyProtection="0"/>
    <xf numFmtId="0" fontId="41" fillId="80" borderId="0" applyNumberFormat="0" applyBorder="0" applyAlignment="0" applyProtection="0"/>
    <xf numFmtId="0" fontId="41" fillId="80" borderId="0" applyNumberFormat="0" applyBorder="0" applyAlignment="0" applyProtection="0"/>
    <xf numFmtId="0" fontId="41" fillId="81" borderId="0" applyNumberFormat="0" applyBorder="0" applyAlignment="0" applyProtection="0"/>
    <xf numFmtId="0" fontId="41" fillId="81" borderId="0" applyNumberFormat="0" applyBorder="0" applyAlignment="0" applyProtection="0"/>
    <xf numFmtId="0" fontId="41" fillId="81" borderId="0" applyNumberFormat="0" applyBorder="0" applyAlignment="0" applyProtection="0"/>
    <xf numFmtId="0" fontId="41" fillId="81" borderId="0" applyNumberFormat="0" applyBorder="0" applyAlignment="0" applyProtection="0"/>
    <xf numFmtId="43" fontId="3"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3"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41" fillId="0" borderId="0" applyFont="0" applyFill="0" applyBorder="0" applyAlignment="0" applyProtection="0"/>
    <xf numFmtId="43" fontId="3" fillId="0" borderId="0" applyFont="0" applyFill="0" applyBorder="0" applyAlignment="0" applyProtection="0"/>
    <xf numFmtId="43" fontId="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22" borderId="0" applyNumberFormat="0" applyAlignment="0">
      <alignment horizontal="right"/>
    </xf>
    <xf numFmtId="0" fontId="3" fillId="23" borderId="0" applyNumberFormat="0" applyAlignment="0"/>
    <xf numFmtId="0" fontId="3" fillId="23" borderId="0" applyNumberFormat="0" applyAlignment="0"/>
    <xf numFmtId="0" fontId="3" fillId="23" borderId="0" applyNumberFormat="0" applyAlignment="0"/>
    <xf numFmtId="0" fontId="52" fillId="0" borderId="0" applyNumberFormat="0" applyFill="0" applyBorder="0" applyAlignment="0" applyProtection="0">
      <alignment vertical="top"/>
      <protection locked="0"/>
    </xf>
    <xf numFmtId="0" fontId="23" fillId="0" borderId="0"/>
    <xf numFmtId="0" fontId="23" fillId="0" borderId="0"/>
    <xf numFmtId="0" fontId="41" fillId="0" borderId="0"/>
    <xf numFmtId="0" fontId="41" fillId="0" borderId="0"/>
    <xf numFmtId="0" fontId="41" fillId="0" borderId="0"/>
    <xf numFmtId="0" fontId="41" fillId="0" borderId="0"/>
    <xf numFmtId="0" fontId="3" fillId="0" borderId="0">
      <alignment readingOrder="1"/>
    </xf>
    <xf numFmtId="0" fontId="41" fillId="0" borderId="0"/>
    <xf numFmtId="0" fontId="3" fillId="0" borderId="0"/>
    <xf numFmtId="0" fontId="67" fillId="0" borderId="0"/>
    <xf numFmtId="0" fontId="41" fillId="0" borderId="0"/>
    <xf numFmtId="0" fontId="23" fillId="0" borderId="0"/>
    <xf numFmtId="0" fontId="23" fillId="0" borderId="0"/>
    <xf numFmtId="0" fontId="23" fillId="0" borderId="0"/>
    <xf numFmtId="0" fontId="41" fillId="0" borderId="0"/>
    <xf numFmtId="0" fontId="41" fillId="0" borderId="0"/>
    <xf numFmtId="0" fontId="3" fillId="0" borderId="0"/>
    <xf numFmtId="0" fontId="3" fillId="0" borderId="0"/>
    <xf numFmtId="0" fontId="23" fillId="0" borderId="0"/>
    <xf numFmtId="0" fontId="41" fillId="0" borderId="0"/>
    <xf numFmtId="0" fontId="41" fillId="0" borderId="0"/>
    <xf numFmtId="0" fontId="23" fillId="0" borderId="0"/>
    <xf numFmtId="0" fontId="3" fillId="0" borderId="0">
      <alignment readingOrder="1"/>
    </xf>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3" fillId="0" borderId="0"/>
    <xf numFmtId="0" fontId="3" fillId="0" borderId="0">
      <alignment readingOrder="1"/>
    </xf>
    <xf numFmtId="0" fontId="41" fillId="0" borderId="0"/>
    <xf numFmtId="0" fontId="41" fillId="0" borderId="0"/>
    <xf numFmtId="0" fontId="41" fillId="0" borderId="0"/>
    <xf numFmtId="0" fontId="60" fillId="0" borderId="0"/>
    <xf numFmtId="0" fontId="23" fillId="0" borderId="0"/>
    <xf numFmtId="0" fontId="23" fillId="0" borderId="0"/>
    <xf numFmtId="0" fontId="23" fillId="0" borderId="0"/>
    <xf numFmtId="0" fontId="23" fillId="0" borderId="0"/>
    <xf numFmtId="0" fontId="41" fillId="82" borderId="87" applyNumberFormat="0" applyFont="0" applyAlignment="0" applyProtection="0"/>
    <xf numFmtId="0" fontId="23" fillId="26" borderId="7" applyNumberFormat="0" applyFont="0" applyAlignment="0" applyProtection="0"/>
    <xf numFmtId="0" fontId="41" fillId="82" borderId="87" applyNumberFormat="0" applyFont="0" applyAlignment="0" applyProtection="0"/>
    <xf numFmtId="0" fontId="41" fillId="82" borderId="87" applyNumberFormat="0" applyFont="0" applyAlignment="0" applyProtection="0"/>
    <xf numFmtId="0" fontId="41" fillId="82" borderId="87" applyNumberFormat="0" applyFont="0" applyAlignment="0" applyProtection="0"/>
    <xf numFmtId="0" fontId="41" fillId="82" borderId="87"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23"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23"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3" fillId="0" borderId="0" applyFont="0" applyFill="0" applyBorder="0" applyAlignment="0" applyProtection="0"/>
    <xf numFmtId="9" fontId="4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cellStyleXfs>
  <cellXfs count="735">
    <xf numFmtId="0" fontId="0" fillId="0" borderId="0" xfId="0">
      <alignment readingOrder="1"/>
    </xf>
    <xf numFmtId="0" fontId="0" fillId="0" borderId="10" xfId="0" applyBorder="1">
      <alignment readingOrder="1"/>
    </xf>
    <xf numFmtId="0" fontId="6" fillId="27" borderId="11" xfId="45" applyFont="1" applyFill="1" applyBorder="1" applyAlignment="1">
      <alignment horizontal="centerContinuous"/>
    </xf>
    <xf numFmtId="0" fontId="10" fillId="27" borderId="11" xfId="45" applyFont="1" applyFill="1" applyBorder="1" applyAlignment="1">
      <alignment horizontal="centerContinuous"/>
    </xf>
    <xf numFmtId="0" fontId="10" fillId="27" borderId="12" xfId="45" applyFont="1" applyFill="1" applyBorder="1" applyAlignment="1">
      <alignment horizontal="centerContinuous"/>
    </xf>
    <xf numFmtId="0" fontId="8" fillId="27" borderId="13" xfId="45" applyFont="1" applyFill="1" applyBorder="1" applyAlignment="1">
      <alignment horizontal="centerContinuous"/>
    </xf>
    <xf numFmtId="0" fontId="13" fillId="0" borderId="0" xfId="45" applyFont="1"/>
    <xf numFmtId="0" fontId="5" fillId="0" borderId="0" xfId="45" applyFont="1"/>
    <xf numFmtId="5" fontId="5" fillId="0" borderId="0" xfId="45" applyNumberFormat="1" applyFont="1"/>
    <xf numFmtId="165" fontId="5" fillId="0" borderId="0" xfId="45" applyNumberFormat="1" applyFont="1"/>
    <xf numFmtId="0" fontId="5" fillId="0" borderId="0" xfId="45" applyFont="1" applyAlignment="1">
      <alignment horizontal="center"/>
    </xf>
    <xf numFmtId="0" fontId="5" fillId="0" borderId="0" xfId="45" applyFont="1" applyFill="1" applyBorder="1"/>
    <xf numFmtId="0" fontId="6" fillId="0" borderId="0" xfId="45" applyFont="1" applyFill="1" applyBorder="1" applyAlignment="1">
      <alignment horizontal="centerContinuous"/>
    </xf>
    <xf numFmtId="0" fontId="10" fillId="0" borderId="0" xfId="45" applyFont="1" applyFill="1" applyBorder="1" applyAlignment="1">
      <alignment horizontal="centerContinuous"/>
    </xf>
    <xf numFmtId="0" fontId="8" fillId="0" borderId="0" xfId="45" applyFont="1" applyFill="1" applyBorder="1" applyAlignment="1">
      <alignment horizontal="centerContinuous"/>
    </xf>
    <xf numFmtId="0" fontId="9" fillId="0" borderId="0" xfId="45" applyFont="1" applyFill="1" applyBorder="1" applyAlignment="1">
      <alignment horizontal="centerContinuous"/>
    </xf>
    <xf numFmtId="0" fontId="9" fillId="0" borderId="0" xfId="45" applyFont="1" applyFill="1" applyBorder="1" applyAlignment="1">
      <alignment horizontal="center" wrapText="1"/>
    </xf>
    <xf numFmtId="0" fontId="13" fillId="0" borderId="0" xfId="45" applyFont="1" applyAlignment="1">
      <alignment horizontal="left"/>
    </xf>
    <xf numFmtId="165" fontId="0" fillId="0" borderId="0" xfId="0" applyNumberFormat="1">
      <alignment readingOrder="1"/>
    </xf>
    <xf numFmtId="171" fontId="5" fillId="0" borderId="0" xfId="45" applyNumberFormat="1" applyFont="1"/>
    <xf numFmtId="0" fontId="5" fillId="0" borderId="0" xfId="45" applyFont="1" applyFill="1"/>
    <xf numFmtId="0" fontId="9" fillId="29" borderId="20" xfId="45" applyFont="1" applyFill="1" applyBorder="1" applyAlignment="1">
      <alignment horizontal="center" wrapText="1"/>
    </xf>
    <xf numFmtId="0" fontId="0" fillId="0" borderId="0" xfId="0" applyBorder="1">
      <alignment readingOrder="1"/>
    </xf>
    <xf numFmtId="0" fontId="3" fillId="0" borderId="0" xfId="48"/>
    <xf numFmtId="169" fontId="3" fillId="0" borderId="0" xfId="48" applyNumberFormat="1" applyAlignment="1">
      <alignment horizontal="center" readingOrder="1"/>
    </xf>
    <xf numFmtId="168" fontId="3" fillId="0" borderId="0" xfId="48" applyNumberFormat="1" applyAlignment="1">
      <alignment horizontal="center" readingOrder="1"/>
    </xf>
    <xf numFmtId="0" fontId="9" fillId="29" borderId="15" xfId="45" applyFont="1" applyFill="1" applyBorder="1" applyAlignment="1">
      <alignment horizontal="center" wrapText="1"/>
    </xf>
    <xf numFmtId="0" fontId="9" fillId="29" borderId="20" xfId="48" applyFont="1" applyFill="1" applyBorder="1" applyAlignment="1">
      <alignment horizontal="center" wrapText="1"/>
    </xf>
    <xf numFmtId="0" fontId="3" fillId="0" borderId="0" xfId="47"/>
    <xf numFmtId="0" fontId="3" fillId="0" borderId="0" xfId="47" applyFont="1"/>
    <xf numFmtId="0" fontId="3" fillId="0" borderId="10" xfId="47" applyBorder="1"/>
    <xf numFmtId="173" fontId="3" fillId="0" borderId="10" xfId="49" applyNumberFormat="1" applyBorder="1" applyAlignment="1" applyProtection="1">
      <alignment horizontal="right"/>
    </xf>
    <xf numFmtId="5" fontId="3" fillId="0" borderId="0" xfId="47" applyNumberFormat="1" applyFont="1" applyAlignment="1">
      <alignment horizontal="right"/>
    </xf>
    <xf numFmtId="165" fontId="3" fillId="0" borderId="0" xfId="47" applyNumberFormat="1" applyFont="1"/>
    <xf numFmtId="0" fontId="3" fillId="0" borderId="0" xfId="44"/>
    <xf numFmtId="0" fontId="12" fillId="0" borderId="10" xfId="44" applyFont="1" applyBorder="1" applyAlignment="1">
      <alignment wrapText="1"/>
    </xf>
    <xf numFmtId="0" fontId="3" fillId="0" borderId="10" xfId="44" applyBorder="1" applyAlignment="1">
      <alignment wrapText="1"/>
    </xf>
    <xf numFmtId="0" fontId="12" fillId="0" borderId="10" xfId="44" applyFont="1" applyBorder="1"/>
    <xf numFmtId="175" fontId="3" fillId="0" borderId="10" xfId="29" applyNumberFormat="1" applyBorder="1"/>
    <xf numFmtId="0" fontId="12" fillId="0" borderId="22" xfId="44" applyFont="1" applyBorder="1"/>
    <xf numFmtId="9" fontId="12" fillId="33" borderId="40" xfId="52" applyFont="1" applyFill="1" applyBorder="1"/>
    <xf numFmtId="0" fontId="12" fillId="0" borderId="11" xfId="44" applyFont="1" applyBorder="1"/>
    <xf numFmtId="9" fontId="12" fillId="33" borderId="49" xfId="44" applyNumberFormat="1" applyFont="1" applyFill="1" applyBorder="1"/>
    <xf numFmtId="0" fontId="12" fillId="0" borderId="0" xfId="44" applyFont="1" applyBorder="1"/>
    <xf numFmtId="0" fontId="3" fillId="28" borderId="50" xfId="44" applyFill="1" applyBorder="1" applyAlignment="1">
      <alignment horizontal="right" wrapText="1"/>
    </xf>
    <xf numFmtId="175" fontId="3" fillId="0" borderId="21" xfId="44" applyNumberFormat="1" applyBorder="1"/>
    <xf numFmtId="0" fontId="3" fillId="0" borderId="0" xfId="44" applyBorder="1"/>
    <xf numFmtId="0" fontId="3" fillId="33" borderId="10" xfId="44" applyFill="1" applyBorder="1"/>
    <xf numFmtId="0" fontId="3" fillId="28" borderId="51" xfId="44" applyFill="1" applyBorder="1" applyAlignment="1">
      <alignment horizontal="right" wrapText="1"/>
    </xf>
    <xf numFmtId="175" fontId="3" fillId="0" borderId="10" xfId="44" applyNumberFormat="1" applyBorder="1"/>
    <xf numFmtId="175" fontId="3" fillId="0" borderId="21" xfId="29" applyNumberFormat="1" applyBorder="1"/>
    <xf numFmtId="9" fontId="3" fillId="0" borderId="0" xfId="44" applyNumberFormat="1" applyBorder="1"/>
    <xf numFmtId="177" fontId="3" fillId="0" borderId="10" xfId="44" applyNumberFormat="1" applyBorder="1"/>
    <xf numFmtId="174" fontId="3" fillId="0" borderId="10" xfId="44" applyNumberFormat="1" applyBorder="1"/>
    <xf numFmtId="43" fontId="3" fillId="0" borderId="12" xfId="44" applyNumberFormat="1" applyBorder="1"/>
    <xf numFmtId="2" fontId="3" fillId="0" borderId="10" xfId="44" applyNumberFormat="1" applyBorder="1"/>
    <xf numFmtId="43" fontId="3" fillId="0" borderId="10" xfId="44" applyNumberFormat="1" applyBorder="1"/>
    <xf numFmtId="0" fontId="3" fillId="0" borderId="28" xfId="44" applyBorder="1"/>
    <xf numFmtId="9" fontId="3" fillId="0" borderId="28" xfId="44" applyNumberFormat="1" applyBorder="1"/>
    <xf numFmtId="0" fontId="3" fillId="31" borderId="52" xfId="44" applyFill="1" applyBorder="1" applyAlignment="1">
      <alignment wrapText="1"/>
    </xf>
    <xf numFmtId="0" fontId="3" fillId="31" borderId="19" xfId="44" applyFill="1" applyBorder="1" applyAlignment="1">
      <alignment wrapText="1"/>
    </xf>
    <xf numFmtId="0" fontId="3" fillId="31" borderId="23" xfId="44" applyFill="1" applyBorder="1" applyAlignment="1">
      <alignment wrapText="1"/>
    </xf>
    <xf numFmtId="0" fontId="3" fillId="28" borderId="29" xfId="44" applyFill="1" applyBorder="1" applyAlignment="1">
      <alignment horizontal="right" wrapText="1"/>
    </xf>
    <xf numFmtId="175" fontId="3" fillId="0" borderId="40" xfId="29" applyNumberFormat="1" applyBorder="1"/>
    <xf numFmtId="0" fontId="3" fillId="0" borderId="30" xfId="44" applyBorder="1"/>
    <xf numFmtId="43" fontId="3" fillId="0" borderId="40" xfId="29" applyBorder="1"/>
    <xf numFmtId="9" fontId="12" fillId="33" borderId="40" xfId="44" applyNumberFormat="1" applyFont="1" applyFill="1" applyBorder="1"/>
    <xf numFmtId="43" fontId="3" fillId="0" borderId="30" xfId="29" applyBorder="1"/>
    <xf numFmtId="0" fontId="3" fillId="34" borderId="25" xfId="44" applyFill="1" applyBorder="1" applyAlignment="1">
      <alignment wrapText="1"/>
    </xf>
    <xf numFmtId="0" fontId="3" fillId="34" borderId="26" xfId="44" applyFill="1" applyBorder="1" applyAlignment="1">
      <alignment wrapText="1"/>
    </xf>
    <xf numFmtId="43" fontId="3" fillId="0" borderId="40" xfId="29" applyNumberFormat="1" applyBorder="1"/>
    <xf numFmtId="2" fontId="3" fillId="0" borderId="12" xfId="44" applyNumberFormat="1" applyBorder="1"/>
    <xf numFmtId="170" fontId="3" fillId="0" borderId="42" xfId="29" applyNumberFormat="1" applyBorder="1"/>
    <xf numFmtId="43" fontId="3" fillId="0" borderId="42" xfId="29" applyBorder="1"/>
    <xf numFmtId="0" fontId="3" fillId="28" borderId="10" xfId="44" applyFill="1" applyBorder="1" applyAlignment="1">
      <alignment wrapText="1"/>
    </xf>
    <xf numFmtId="0" fontId="3" fillId="0" borderId="10" xfId="44" applyBorder="1"/>
    <xf numFmtId="170" fontId="3" fillId="0" borderId="10" xfId="29" applyNumberFormat="1" applyBorder="1"/>
    <xf numFmtId="43" fontId="3" fillId="0" borderId="0" xfId="44" applyNumberFormat="1"/>
    <xf numFmtId="0" fontId="3" fillId="28" borderId="25" xfId="44" applyFill="1" applyBorder="1" applyAlignment="1">
      <alignment horizontal="center"/>
    </xf>
    <xf numFmtId="0" fontId="3" fillId="0" borderId="26" xfId="44" applyBorder="1"/>
    <xf numFmtId="0" fontId="3" fillId="0" borderId="25" xfId="44" applyBorder="1" applyAlignment="1">
      <alignment horizontal="center"/>
    </xf>
    <xf numFmtId="0" fontId="3" fillId="28" borderId="53" xfId="44" applyFill="1" applyBorder="1" applyAlignment="1">
      <alignment wrapText="1"/>
    </xf>
    <xf numFmtId="0" fontId="3" fillId="28" borderId="46" xfId="44" applyFill="1" applyBorder="1" applyAlignment="1">
      <alignment wrapText="1"/>
    </xf>
    <xf numFmtId="0" fontId="3" fillId="28" borderId="54" xfId="44" applyFill="1" applyBorder="1" applyAlignment="1">
      <alignment wrapText="1"/>
    </xf>
    <xf numFmtId="0" fontId="3" fillId="28" borderId="47" xfId="44" applyFill="1" applyBorder="1" applyAlignment="1">
      <alignment wrapText="1"/>
    </xf>
    <xf numFmtId="0" fontId="3" fillId="28" borderId="55" xfId="44" applyFill="1" applyBorder="1" applyAlignment="1">
      <alignment wrapText="1"/>
    </xf>
    <xf numFmtId="0" fontId="3" fillId="28" borderId="56" xfId="44" applyFill="1" applyBorder="1" applyAlignment="1">
      <alignment wrapText="1"/>
    </xf>
    <xf numFmtId="0" fontId="3" fillId="28" borderId="48" xfId="44" applyFill="1" applyBorder="1" applyAlignment="1">
      <alignment wrapText="1"/>
    </xf>
    <xf numFmtId="0" fontId="3" fillId="28" borderId="35" xfId="44" applyFill="1" applyBorder="1" applyAlignment="1">
      <alignment wrapText="1"/>
    </xf>
    <xf numFmtId="0" fontId="3" fillId="28" borderId="36" xfId="44" applyFill="1" applyBorder="1" applyAlignment="1">
      <alignment wrapText="1"/>
    </xf>
    <xf numFmtId="0" fontId="3" fillId="28" borderId="43" xfId="44" applyFill="1" applyBorder="1" applyAlignment="1">
      <alignment wrapText="1"/>
    </xf>
    <xf numFmtId="0" fontId="3" fillId="30" borderId="57" xfId="44" applyFill="1" applyBorder="1"/>
    <xf numFmtId="3" fontId="3" fillId="30" borderId="21" xfId="44" applyNumberFormat="1" applyFill="1" applyBorder="1"/>
    <xf numFmtId="0" fontId="3" fillId="30" borderId="21" xfId="44" applyFill="1" applyBorder="1"/>
    <xf numFmtId="175" fontId="3" fillId="30" borderId="21" xfId="29" applyNumberFormat="1" applyFill="1" applyBorder="1"/>
    <xf numFmtId="3" fontId="3" fillId="30" borderId="16" xfId="44" applyNumberFormat="1" applyFill="1" applyBorder="1"/>
    <xf numFmtId="176" fontId="3" fillId="30" borderId="21" xfId="44" applyNumberFormat="1" applyFill="1" applyBorder="1"/>
    <xf numFmtId="43" fontId="3" fillId="30" borderId="21" xfId="29" applyFill="1" applyBorder="1"/>
    <xf numFmtId="0" fontId="3" fillId="30" borderId="18" xfId="44" applyFill="1" applyBorder="1"/>
    <xf numFmtId="0" fontId="3" fillId="30" borderId="16" xfId="44" applyFill="1" applyBorder="1"/>
    <xf numFmtId="175" fontId="3" fillId="0" borderId="37" xfId="29" applyNumberFormat="1" applyBorder="1"/>
    <xf numFmtId="175" fontId="3" fillId="0" borderId="38" xfId="29" applyNumberFormat="1" applyBorder="1"/>
    <xf numFmtId="43" fontId="3" fillId="0" borderId="38" xfId="29" applyBorder="1"/>
    <xf numFmtId="175" fontId="3" fillId="0" borderId="39" xfId="29" applyNumberFormat="1" applyBorder="1"/>
    <xf numFmtId="43" fontId="3" fillId="0" borderId="58" xfId="29" applyNumberFormat="1" applyBorder="1"/>
    <xf numFmtId="43" fontId="3" fillId="0" borderId="39" xfId="29" applyBorder="1"/>
    <xf numFmtId="175" fontId="3" fillId="0" borderId="59" xfId="29" applyNumberFormat="1" applyBorder="1"/>
    <xf numFmtId="43" fontId="3" fillId="0" borderId="38" xfId="29" applyNumberFormat="1" applyBorder="1"/>
    <xf numFmtId="9" fontId="3" fillId="0" borderId="58" xfId="52" applyBorder="1"/>
    <xf numFmtId="9" fontId="3" fillId="0" borderId="38" xfId="52" applyBorder="1"/>
    <xf numFmtId="9" fontId="3" fillId="0" borderId="39" xfId="52" applyBorder="1"/>
    <xf numFmtId="0" fontId="3" fillId="30" borderId="60" xfId="44" applyFill="1" applyBorder="1"/>
    <xf numFmtId="3" fontId="3" fillId="30" borderId="10" xfId="44" applyNumberFormat="1" applyFill="1" applyBorder="1"/>
    <xf numFmtId="0" fontId="3" fillId="30" borderId="10" xfId="44" applyFill="1" applyBorder="1"/>
    <xf numFmtId="175" fontId="3" fillId="30" borderId="10" xfId="29" applyNumberFormat="1" applyFill="1" applyBorder="1"/>
    <xf numFmtId="3" fontId="3" fillId="30" borderId="22" xfId="44" applyNumberFormat="1" applyFill="1" applyBorder="1"/>
    <xf numFmtId="0" fontId="3" fillId="30" borderId="22" xfId="44" applyFill="1" applyBorder="1"/>
    <xf numFmtId="176" fontId="3" fillId="30" borderId="10" xfId="44" applyNumberFormat="1" applyFill="1" applyBorder="1"/>
    <xf numFmtId="43" fontId="3" fillId="30" borderId="10" xfId="29" applyFill="1" applyBorder="1"/>
    <xf numFmtId="0" fontId="3" fillId="30" borderId="13" xfId="44" applyFill="1" applyBorder="1"/>
    <xf numFmtId="175" fontId="3" fillId="0" borderId="53" xfId="29" applyNumberFormat="1" applyBorder="1"/>
    <xf numFmtId="175" fontId="3" fillId="0" borderId="46" xfId="29" applyNumberFormat="1" applyBorder="1"/>
    <xf numFmtId="43" fontId="3" fillId="0" borderId="46" xfId="29" applyBorder="1"/>
    <xf numFmtId="175" fontId="3" fillId="0" borderId="54" xfId="29" applyNumberFormat="1" applyBorder="1"/>
    <xf numFmtId="43" fontId="3" fillId="0" borderId="61" xfId="29" applyNumberFormat="1" applyBorder="1"/>
    <xf numFmtId="43" fontId="3" fillId="0" borderId="54" xfId="29" applyBorder="1"/>
    <xf numFmtId="175" fontId="3" fillId="0" borderId="62" xfId="29" applyNumberFormat="1" applyBorder="1"/>
    <xf numFmtId="43" fontId="3" fillId="0" borderId="46" xfId="29" applyNumberFormat="1" applyBorder="1"/>
    <xf numFmtId="9" fontId="3" fillId="0" borderId="61" xfId="52" applyBorder="1"/>
    <xf numFmtId="9" fontId="3" fillId="0" borderId="46" xfId="52" applyBorder="1"/>
    <xf numFmtId="9" fontId="3" fillId="0" borderId="54" xfId="52" applyBorder="1"/>
    <xf numFmtId="0" fontId="3" fillId="0" borderId="60" xfId="44" applyFill="1" applyBorder="1"/>
    <xf numFmtId="3" fontId="3" fillId="0" borderId="10" xfId="44" applyNumberFormat="1" applyFill="1" applyBorder="1"/>
    <xf numFmtId="0" fontId="3" fillId="0" borderId="10" xfId="44" applyFill="1" applyBorder="1"/>
    <xf numFmtId="175" fontId="3" fillId="0" borderId="10" xfId="29" applyNumberFormat="1" applyFill="1" applyBorder="1"/>
    <xf numFmtId="3" fontId="3" fillId="0" borderId="22" xfId="44" applyNumberFormat="1" applyFill="1" applyBorder="1"/>
    <xf numFmtId="0" fontId="3" fillId="0" borderId="22" xfId="44" applyFill="1" applyBorder="1"/>
    <xf numFmtId="176" fontId="3" fillId="0" borderId="10" xfId="44" applyNumberFormat="1" applyFill="1" applyBorder="1"/>
    <xf numFmtId="43" fontId="3" fillId="0" borderId="10" xfId="29" applyFill="1" applyBorder="1"/>
    <xf numFmtId="174" fontId="3" fillId="0" borderId="13" xfId="29" applyNumberFormat="1" applyFill="1" applyBorder="1"/>
    <xf numFmtId="0" fontId="3" fillId="28" borderId="21" xfId="44" applyFill="1" applyBorder="1" applyAlignment="1">
      <alignment wrapText="1"/>
    </xf>
    <xf numFmtId="0" fontId="3" fillId="28" borderId="41" xfId="44" applyFill="1" applyBorder="1" applyAlignment="1">
      <alignment wrapText="1"/>
    </xf>
    <xf numFmtId="0" fontId="3" fillId="28" borderId="20" xfId="44" applyFill="1" applyBorder="1" applyAlignment="1">
      <alignment wrapText="1"/>
    </xf>
    <xf numFmtId="0" fontId="3" fillId="0" borderId="13" xfId="44" applyFill="1" applyBorder="1"/>
    <xf numFmtId="3" fontId="3" fillId="0" borderId="14" xfId="44" applyNumberFormat="1" applyFill="1" applyBorder="1"/>
    <xf numFmtId="0" fontId="3" fillId="0" borderId="0" xfId="44" applyFill="1"/>
    <xf numFmtId="175" fontId="3" fillId="0" borderId="0" xfId="29" applyNumberFormat="1"/>
    <xf numFmtId="0" fontId="3" fillId="0" borderId="0" xfId="44" applyFill="1" applyBorder="1"/>
    <xf numFmtId="3" fontId="3" fillId="0" borderId="0" xfId="44" applyNumberFormat="1" applyFill="1" applyBorder="1"/>
    <xf numFmtId="3" fontId="3" fillId="0" borderId="20" xfId="44" applyNumberFormat="1" applyFill="1" applyBorder="1"/>
    <xf numFmtId="170" fontId="3" fillId="0" borderId="0" xfId="29" applyNumberFormat="1" applyFill="1" applyBorder="1"/>
    <xf numFmtId="174" fontId="3" fillId="0" borderId="0" xfId="29" applyNumberFormat="1" applyFill="1" applyBorder="1"/>
    <xf numFmtId="0" fontId="3" fillId="0" borderId="12" xfId="44" applyBorder="1"/>
    <xf numFmtId="3" fontId="3" fillId="0" borderId="12" xfId="44" applyNumberFormat="1" applyBorder="1"/>
    <xf numFmtId="3" fontId="3" fillId="0" borderId="12" xfId="44" applyNumberFormat="1" applyFill="1" applyBorder="1"/>
    <xf numFmtId="43" fontId="3" fillId="0" borderId="12" xfId="29" applyFill="1" applyBorder="1"/>
    <xf numFmtId="175" fontId="3" fillId="0" borderId="0" xfId="44" applyNumberFormat="1"/>
    <xf numFmtId="0" fontId="12" fillId="33" borderId="37" xfId="44" applyFont="1" applyFill="1" applyBorder="1" applyAlignment="1">
      <alignment horizontal="center" wrapText="1"/>
    </xf>
    <xf numFmtId="0" fontId="12" fillId="33" borderId="38" xfId="44" applyFont="1" applyFill="1" applyBorder="1" applyAlignment="1">
      <alignment horizontal="center" wrapText="1"/>
    </xf>
    <xf numFmtId="0" fontId="12" fillId="33" borderId="59" xfId="44" applyFont="1" applyFill="1" applyBorder="1" applyAlignment="1">
      <alignment horizontal="center" wrapText="1"/>
    </xf>
    <xf numFmtId="0" fontId="3" fillId="28" borderId="51" xfId="44" applyFill="1" applyBorder="1" applyAlignment="1">
      <alignment wrapText="1"/>
    </xf>
    <xf numFmtId="0" fontId="3" fillId="28" borderId="12" xfId="44" applyFill="1" applyBorder="1" applyAlignment="1">
      <alignment wrapText="1"/>
    </xf>
    <xf numFmtId="0" fontId="3" fillId="28" borderId="63" xfId="44" applyFill="1" applyBorder="1" applyAlignment="1">
      <alignment wrapText="1"/>
    </xf>
    <xf numFmtId="0" fontId="3" fillId="33" borderId="53" xfId="44" applyFill="1" applyBorder="1" applyAlignment="1">
      <alignment wrapText="1"/>
    </xf>
    <xf numFmtId="0" fontId="3" fillId="33" borderId="46" xfId="44" applyFill="1" applyBorder="1" applyAlignment="1">
      <alignment wrapText="1"/>
    </xf>
    <xf numFmtId="0" fontId="3" fillId="33" borderId="62" xfId="44" applyFill="1" applyBorder="1" applyAlignment="1">
      <alignment wrapText="1"/>
    </xf>
    <xf numFmtId="0" fontId="3" fillId="30" borderId="53" xfId="44" applyFill="1" applyBorder="1" applyAlignment="1">
      <alignment wrapText="1"/>
    </xf>
    <xf numFmtId="0" fontId="3" fillId="30" borderId="46" xfId="44" applyFill="1" applyBorder="1" applyAlignment="1">
      <alignment wrapText="1"/>
    </xf>
    <xf numFmtId="0" fontId="3" fillId="35" borderId="46" xfId="44" applyFill="1" applyBorder="1" applyAlignment="1">
      <alignment wrapText="1"/>
    </xf>
    <xf numFmtId="0" fontId="3" fillId="30" borderId="54" xfId="44" applyFill="1" applyBorder="1" applyAlignment="1">
      <alignment wrapText="1"/>
    </xf>
    <xf numFmtId="0" fontId="3" fillId="0" borderId="60" xfId="44" applyBorder="1"/>
    <xf numFmtId="3" fontId="3" fillId="0" borderId="64" xfId="44" applyNumberFormat="1" applyFill="1" applyBorder="1"/>
    <xf numFmtId="170" fontId="3" fillId="0" borderId="57" xfId="29" applyNumberFormat="1" applyFill="1" applyBorder="1"/>
    <xf numFmtId="175" fontId="3" fillId="0" borderId="41" xfId="29" applyNumberFormat="1" applyBorder="1"/>
    <xf numFmtId="175" fontId="3" fillId="0" borderId="57" xfId="44" applyNumberFormat="1" applyBorder="1"/>
    <xf numFmtId="166" fontId="3" fillId="0" borderId="21" xfId="30" applyNumberFormat="1" applyBorder="1"/>
    <xf numFmtId="166" fontId="3" fillId="0" borderId="41" xfId="30" applyNumberFormat="1" applyBorder="1"/>
    <xf numFmtId="175" fontId="3" fillId="35" borderId="10" xfId="44" applyNumberFormat="1" applyFill="1" applyBorder="1"/>
    <xf numFmtId="166" fontId="3" fillId="35" borderId="21" xfId="30" applyNumberFormat="1" applyFill="1" applyBorder="1"/>
    <xf numFmtId="166" fontId="3" fillId="0" borderId="16" xfId="30" applyNumberFormat="1" applyBorder="1"/>
    <xf numFmtId="0" fontId="3" fillId="0" borderId="21" xfId="44" applyBorder="1"/>
    <xf numFmtId="0" fontId="3" fillId="0" borderId="41" xfId="44" applyBorder="1"/>
    <xf numFmtId="175" fontId="3" fillId="0" borderId="60" xfId="44" applyNumberFormat="1" applyBorder="1"/>
    <xf numFmtId="175" fontId="3" fillId="0" borderId="64" xfId="44" applyNumberFormat="1" applyBorder="1"/>
    <xf numFmtId="170" fontId="3" fillId="0" borderId="60" xfId="29" applyNumberFormat="1" applyFill="1" applyBorder="1"/>
    <xf numFmtId="175" fontId="3" fillId="0" borderId="64" xfId="29" applyNumberFormat="1" applyBorder="1"/>
    <xf numFmtId="166" fontId="3" fillId="0" borderId="10" xfId="30" applyNumberFormat="1" applyBorder="1"/>
    <xf numFmtId="166" fontId="3" fillId="0" borderId="64" xfId="30" applyNumberFormat="1" applyBorder="1"/>
    <xf numFmtId="166" fontId="3" fillId="35" borderId="10" xfId="30" applyNumberFormat="1" applyFill="1" applyBorder="1"/>
    <xf numFmtId="166" fontId="3" fillId="0" borderId="22" xfId="30" applyNumberFormat="1" applyBorder="1"/>
    <xf numFmtId="0" fontId="3" fillId="0" borderId="64" xfId="44" applyBorder="1"/>
    <xf numFmtId="0" fontId="3" fillId="0" borderId="53" xfId="44" applyBorder="1"/>
    <xf numFmtId="0" fontId="3" fillId="0" borderId="46" xfId="44" applyBorder="1"/>
    <xf numFmtId="3" fontId="3" fillId="0" borderId="46" xfId="44" applyNumberFormat="1" applyFill="1" applyBorder="1"/>
    <xf numFmtId="0" fontId="3" fillId="0" borderId="46" xfId="44" applyFill="1" applyBorder="1"/>
    <xf numFmtId="3" fontId="3" fillId="0" borderId="54" xfId="44" applyNumberFormat="1" applyFill="1" applyBorder="1"/>
    <xf numFmtId="170" fontId="3" fillId="0" borderId="53" xfId="29" applyNumberFormat="1" applyFill="1" applyBorder="1"/>
    <xf numFmtId="175" fontId="3" fillId="0" borderId="53" xfId="44" applyNumberFormat="1" applyBorder="1"/>
    <xf numFmtId="166" fontId="3" fillId="0" borderId="46" xfId="30" applyNumberFormat="1" applyBorder="1"/>
    <xf numFmtId="175" fontId="3" fillId="0" borderId="46" xfId="44" applyNumberFormat="1" applyBorder="1"/>
    <xf numFmtId="166" fontId="3" fillId="0" borderId="54" xfId="30" applyNumberFormat="1" applyBorder="1"/>
    <xf numFmtId="175" fontId="3" fillId="35" borderId="46" xfId="44" applyNumberFormat="1" applyFill="1" applyBorder="1"/>
    <xf numFmtId="166" fontId="3" fillId="35" borderId="46" xfId="30" applyNumberFormat="1" applyFill="1" applyBorder="1"/>
    <xf numFmtId="166" fontId="3" fillId="0" borderId="62" xfId="30" applyNumberFormat="1" applyBorder="1"/>
    <xf numFmtId="0" fontId="3" fillId="0" borderId="54" xfId="44" applyBorder="1"/>
    <xf numFmtId="175" fontId="3" fillId="0" borderId="62" xfId="44" applyNumberFormat="1" applyBorder="1"/>
    <xf numFmtId="9" fontId="3" fillId="0" borderId="10" xfId="52" applyBorder="1"/>
    <xf numFmtId="0" fontId="3" fillId="0" borderId="57" xfId="44" applyBorder="1"/>
    <xf numFmtId="3" fontId="3" fillId="0" borderId="21" xfId="44" applyNumberFormat="1" applyFill="1" applyBorder="1"/>
    <xf numFmtId="0" fontId="3" fillId="0" borderId="21" xfId="44" applyFill="1" applyBorder="1"/>
    <xf numFmtId="3" fontId="3" fillId="0" borderId="41" xfId="44" applyNumberFormat="1" applyFill="1" applyBorder="1"/>
    <xf numFmtId="175" fontId="3" fillId="35" borderId="21" xfId="44" applyNumberFormat="1" applyFill="1" applyBorder="1"/>
    <xf numFmtId="175" fontId="3" fillId="0" borderId="41" xfId="44" applyNumberFormat="1" applyBorder="1"/>
    <xf numFmtId="166" fontId="3" fillId="0" borderId="10" xfId="30" applyNumberFormat="1" applyFill="1" applyBorder="1"/>
    <xf numFmtId="175" fontId="3" fillId="0" borderId="10" xfId="44" applyNumberFormat="1" applyFill="1" applyBorder="1"/>
    <xf numFmtId="166" fontId="3" fillId="0" borderId="64" xfId="30" applyNumberFormat="1" applyFill="1" applyBorder="1"/>
    <xf numFmtId="175" fontId="3" fillId="0" borderId="60" xfId="44" applyNumberFormat="1" applyFill="1" applyBorder="1"/>
    <xf numFmtId="166" fontId="3" fillId="0" borderId="22" xfId="30" applyNumberFormat="1" applyFill="1" applyBorder="1"/>
    <xf numFmtId="0" fontId="3" fillId="0" borderId="64" xfId="44" applyFill="1" applyBorder="1"/>
    <xf numFmtId="175" fontId="3" fillId="0" borderId="64" xfId="44" applyNumberFormat="1" applyFill="1" applyBorder="1"/>
    <xf numFmtId="170" fontId="3" fillId="0" borderId="65" xfId="29" applyNumberFormat="1" applyFill="1" applyBorder="1"/>
    <xf numFmtId="175" fontId="3" fillId="0" borderId="54" xfId="44" applyNumberFormat="1" applyBorder="1"/>
    <xf numFmtId="3" fontId="3" fillId="0" borderId="0" xfId="44" applyNumberFormat="1"/>
    <xf numFmtId="9" fontId="3" fillId="0" borderId="0" xfId="52"/>
    <xf numFmtId="0" fontId="12" fillId="0" borderId="0" xfId="44" applyFont="1"/>
    <xf numFmtId="0" fontId="12" fillId="0" borderId="10" xfId="44" applyFont="1" applyBorder="1" applyAlignment="1">
      <alignment horizontal="center"/>
    </xf>
    <xf numFmtId="6" fontId="3" fillId="0" borderId="10" xfId="44" applyNumberFormat="1" applyBorder="1"/>
    <xf numFmtId="3" fontId="3" fillId="0" borderId="10" xfId="44" applyNumberFormat="1" applyBorder="1"/>
    <xf numFmtId="170" fontId="3" fillId="0" borderId="46" xfId="29" applyNumberFormat="1" applyBorder="1"/>
    <xf numFmtId="6" fontId="3" fillId="0" borderId="46" xfId="44" applyNumberFormat="1" applyBorder="1"/>
    <xf numFmtId="3" fontId="3" fillId="0" borderId="21" xfId="44" applyNumberFormat="1" applyBorder="1"/>
    <xf numFmtId="6" fontId="3" fillId="0" borderId="21" xfId="44" applyNumberFormat="1" applyBorder="1"/>
    <xf numFmtId="170" fontId="3" fillId="0" borderId="21" xfId="29" applyNumberFormat="1" applyBorder="1"/>
    <xf numFmtId="175" fontId="3" fillId="0" borderId="10" xfId="29" applyNumberFormat="1" applyBorder="1" applyAlignment="1">
      <alignment wrapText="1"/>
    </xf>
    <xf numFmtId="0" fontId="3" fillId="0" borderId="27" xfId="44" applyBorder="1"/>
    <xf numFmtId="0" fontId="3" fillId="0" borderId="20" xfId="44" applyFill="1" applyBorder="1"/>
    <xf numFmtId="165" fontId="3" fillId="0" borderId="10" xfId="44" applyNumberFormat="1" applyBorder="1"/>
    <xf numFmtId="0" fontId="3" fillId="0" borderId="10" xfId="44" applyBorder="1" applyAlignment="1">
      <alignment horizontal="center"/>
    </xf>
    <xf numFmtId="0" fontId="3" fillId="0" borderId="25" xfId="44" applyBorder="1"/>
    <xf numFmtId="0" fontId="3" fillId="0" borderId="0" xfId="44" applyFont="1"/>
    <xf numFmtId="0" fontId="12" fillId="33" borderId="39" xfId="44" applyFont="1" applyFill="1" applyBorder="1" applyAlignment="1">
      <alignment horizontal="center" wrapText="1"/>
    </xf>
    <xf numFmtId="0" fontId="3" fillId="33" borderId="54" xfId="44" applyFill="1" applyBorder="1" applyAlignment="1">
      <alignment wrapText="1"/>
    </xf>
    <xf numFmtId="175" fontId="3" fillId="0" borderId="46" xfId="44" applyNumberFormat="1" applyFill="1" applyBorder="1"/>
    <xf numFmtId="166" fontId="3" fillId="0" borderId="46" xfId="30" applyNumberFormat="1" applyFill="1" applyBorder="1"/>
    <xf numFmtId="0" fontId="3" fillId="33" borderId="22" xfId="44" applyFill="1" applyBorder="1"/>
    <xf numFmtId="175" fontId="3" fillId="36" borderId="53" xfId="44" applyNumberFormat="1" applyFill="1" applyBorder="1"/>
    <xf numFmtId="166" fontId="3" fillId="36" borderId="46" xfId="30" applyNumberFormat="1" applyFill="1" applyBorder="1"/>
    <xf numFmtId="175" fontId="3" fillId="36" borderId="46" xfId="44" applyNumberFormat="1" applyFill="1" applyBorder="1"/>
    <xf numFmtId="166" fontId="3" fillId="36" borderId="54" xfId="30" applyNumberFormat="1" applyFill="1" applyBorder="1"/>
    <xf numFmtId="175" fontId="3" fillId="0" borderId="13" xfId="44" applyNumberFormat="1" applyBorder="1"/>
    <xf numFmtId="175" fontId="3" fillId="36" borderId="31" xfId="44" applyNumberFormat="1" applyFill="1" applyBorder="1"/>
    <xf numFmtId="175" fontId="3" fillId="36" borderId="32" xfId="44" applyNumberFormat="1" applyFill="1" applyBorder="1"/>
    <xf numFmtId="175" fontId="3" fillId="36" borderId="40" xfId="44" applyNumberFormat="1" applyFill="1" applyBorder="1"/>
    <xf numFmtId="0" fontId="3" fillId="0" borderId="10" xfId="47" applyFont="1" applyBorder="1"/>
    <xf numFmtId="175" fontId="0" fillId="0" borderId="10" xfId="29" applyNumberFormat="1" applyFont="1" applyBorder="1">
      <alignment readingOrder="1"/>
    </xf>
    <xf numFmtId="164" fontId="3" fillId="0" borderId="0" xfId="52" applyNumberFormat="1"/>
    <xf numFmtId="0" fontId="5" fillId="0" borderId="0" xfId="0" applyFont="1"/>
    <xf numFmtId="0" fontId="5" fillId="0" borderId="38" xfId="0" applyFont="1" applyBorder="1" applyAlignment="1">
      <alignment horizontal="center" vertical="top" wrapText="1"/>
    </xf>
    <xf numFmtId="0" fontId="5" fillId="36" borderId="38" xfId="0" applyFont="1" applyFill="1" applyBorder="1" applyAlignment="1">
      <alignment horizontal="center" vertical="top" wrapText="1"/>
    </xf>
    <xf numFmtId="0" fontId="5" fillId="33" borderId="38" xfId="0" applyFont="1" applyFill="1" applyBorder="1" applyAlignment="1">
      <alignment horizontal="center" vertical="top" wrapText="1"/>
    </xf>
    <xf numFmtId="0" fontId="5" fillId="22" borderId="38" xfId="0" applyFont="1" applyFill="1" applyBorder="1" applyAlignment="1">
      <alignment horizontal="center" vertical="top" wrapText="1"/>
    </xf>
    <xf numFmtId="0" fontId="5" fillId="0" borderId="10" xfId="0" applyFont="1" applyBorder="1" applyAlignment="1">
      <alignment horizontal="center"/>
    </xf>
    <xf numFmtId="3" fontId="5" fillId="36" borderId="10" xfId="0" applyNumberFormat="1" applyFont="1" applyFill="1" applyBorder="1" applyAlignment="1">
      <alignment horizontal="center"/>
    </xf>
    <xf numFmtId="3" fontId="5" fillId="33" borderId="10" xfId="0" applyNumberFormat="1" applyFont="1" applyFill="1" applyBorder="1" applyAlignment="1">
      <alignment horizontal="center"/>
    </xf>
    <xf numFmtId="3" fontId="5" fillId="22" borderId="10" xfId="0" applyNumberFormat="1" applyFont="1" applyFill="1" applyBorder="1" applyAlignment="1">
      <alignment horizontal="center"/>
    </xf>
    <xf numFmtId="170" fontId="5" fillId="0" borderId="0" xfId="29" applyNumberFormat="1" applyFont="1"/>
    <xf numFmtId="175" fontId="5" fillId="0" borderId="0" xfId="29" applyNumberFormat="1" applyFont="1"/>
    <xf numFmtId="0" fontId="5" fillId="0" borderId="46" xfId="0" applyFont="1" applyBorder="1" applyAlignment="1">
      <alignment horizontal="center"/>
    </xf>
    <xf numFmtId="3" fontId="5" fillId="36" borderId="46" xfId="0" applyNumberFormat="1" applyFont="1" applyFill="1" applyBorder="1" applyAlignment="1">
      <alignment horizontal="center"/>
    </xf>
    <xf numFmtId="3" fontId="5" fillId="33" borderId="46" xfId="0" applyNumberFormat="1" applyFont="1" applyFill="1" applyBorder="1" applyAlignment="1">
      <alignment horizontal="center"/>
    </xf>
    <xf numFmtId="3" fontId="5" fillId="22" borderId="46" xfId="0" applyNumberFormat="1" applyFont="1" applyFill="1" applyBorder="1" applyAlignment="1">
      <alignment horizontal="center"/>
    </xf>
    <xf numFmtId="43" fontId="5" fillId="0" borderId="0" xfId="29" applyFont="1"/>
    <xf numFmtId="43" fontId="16" fillId="0" borderId="66" xfId="29" applyFont="1" applyFill="1" applyBorder="1" applyAlignment="1">
      <alignment horizontal="centerContinuous"/>
    </xf>
    <xf numFmtId="43" fontId="5" fillId="0" borderId="0" xfId="29" applyFont="1" applyFill="1" applyBorder="1" applyAlignment="1"/>
    <xf numFmtId="43" fontId="5" fillId="0" borderId="30" xfId="29" applyFont="1" applyFill="1" applyBorder="1" applyAlignment="1"/>
    <xf numFmtId="43" fontId="16" fillId="0" borderId="66" xfId="29" applyFont="1" applyFill="1" applyBorder="1" applyAlignment="1">
      <alignment horizontal="center"/>
    </xf>
    <xf numFmtId="0" fontId="5" fillId="0" borderId="10" xfId="0" applyFont="1" applyBorder="1"/>
    <xf numFmtId="175" fontId="5" fillId="0" borderId="10" xfId="29" applyNumberFormat="1" applyFont="1" applyBorder="1"/>
    <xf numFmtId="43" fontId="5" fillId="0" borderId="10" xfId="29" applyFont="1" applyBorder="1"/>
    <xf numFmtId="175" fontId="5" fillId="0" borderId="10" xfId="0" applyNumberFormat="1" applyFont="1" applyBorder="1"/>
    <xf numFmtId="2" fontId="5" fillId="0" borderId="10" xfId="46" applyNumberFormat="1" applyFont="1" applyBorder="1"/>
    <xf numFmtId="0" fontId="3" fillId="33" borderId="15" xfId="44" applyFont="1" applyFill="1" applyBorder="1" applyAlignment="1">
      <alignment wrapText="1"/>
    </xf>
    <xf numFmtId="0" fontId="3" fillId="33" borderId="51" xfId="44" applyFont="1" applyFill="1" applyBorder="1" applyAlignment="1">
      <alignment wrapText="1"/>
    </xf>
    <xf numFmtId="0" fontId="3" fillId="33" borderId="12" xfId="44" applyFill="1" applyBorder="1" applyAlignment="1">
      <alignment wrapText="1"/>
    </xf>
    <xf numFmtId="0" fontId="3" fillId="33" borderId="63" xfId="44" applyFill="1" applyBorder="1" applyAlignment="1">
      <alignment wrapText="1"/>
    </xf>
    <xf numFmtId="175" fontId="3" fillId="36" borderId="45" xfId="44" applyNumberFormat="1" applyFill="1" applyBorder="1"/>
    <xf numFmtId="170" fontId="3" fillId="36" borderId="45" xfId="44" applyNumberFormat="1" applyFill="1" applyBorder="1"/>
    <xf numFmtId="43" fontId="0" fillId="0" borderId="10" xfId="29" applyFont="1" applyBorder="1">
      <alignment readingOrder="1"/>
    </xf>
    <xf numFmtId="44" fontId="3" fillId="36" borderId="45" xfId="30" applyFill="1" applyBorder="1"/>
    <xf numFmtId="175" fontId="3" fillId="36" borderId="33" xfId="44" applyNumberFormat="1" applyFill="1" applyBorder="1"/>
    <xf numFmtId="175" fontId="0" fillId="0" borderId="13" xfId="29" applyNumberFormat="1" applyFont="1" applyBorder="1">
      <alignment readingOrder="1"/>
    </xf>
    <xf numFmtId="175" fontId="3" fillId="36" borderId="44" xfId="44" applyNumberFormat="1" applyFill="1" applyBorder="1"/>
    <xf numFmtId="175" fontId="0" fillId="0" borderId="60" xfId="29" applyNumberFormat="1" applyFont="1" applyBorder="1">
      <alignment readingOrder="1"/>
    </xf>
    <xf numFmtId="43" fontId="0" fillId="0" borderId="64" xfId="29" applyFont="1" applyBorder="1">
      <alignment readingOrder="1"/>
    </xf>
    <xf numFmtId="175" fontId="3" fillId="36" borderId="65" xfId="44" applyNumberFormat="1" applyFill="1" applyBorder="1"/>
    <xf numFmtId="44" fontId="3" fillId="36" borderId="67" xfId="30" applyFill="1" applyBorder="1"/>
    <xf numFmtId="175" fontId="0" fillId="0" borderId="57" xfId="29" applyNumberFormat="1" applyFont="1" applyBorder="1">
      <alignment readingOrder="1"/>
    </xf>
    <xf numFmtId="43" fontId="0" fillId="0" borderId="21" xfId="29" applyFont="1" applyBorder="1">
      <alignment readingOrder="1"/>
    </xf>
    <xf numFmtId="43" fontId="0" fillId="0" borderId="41" xfId="29" applyFont="1" applyBorder="1">
      <alignment readingOrder="1"/>
    </xf>
    <xf numFmtId="0" fontId="3" fillId="33" borderId="10" xfId="44" applyFont="1" applyFill="1" applyBorder="1" applyAlignment="1">
      <alignment wrapText="1"/>
    </xf>
    <xf numFmtId="0" fontId="3" fillId="33" borderId="10" xfId="44" applyFill="1" applyBorder="1" applyAlignment="1">
      <alignment wrapText="1"/>
    </xf>
    <xf numFmtId="0" fontId="3" fillId="33" borderId="22" xfId="44" applyFill="1" applyBorder="1" applyAlignment="1">
      <alignment wrapText="1"/>
    </xf>
    <xf numFmtId="43" fontId="0" fillId="0" borderId="16" xfId="29" applyFont="1" applyBorder="1">
      <alignment readingOrder="1"/>
    </xf>
    <xf numFmtId="43" fontId="0" fillId="0" borderId="22" xfId="29" applyFont="1" applyBorder="1">
      <alignment readingOrder="1"/>
    </xf>
    <xf numFmtId="44" fontId="3" fillId="36" borderId="68" xfId="30" applyFill="1" applyBorder="1"/>
    <xf numFmtId="0" fontId="3" fillId="33" borderId="13" xfId="44" applyFont="1" applyFill="1" applyBorder="1" applyAlignment="1">
      <alignment wrapText="1"/>
    </xf>
    <xf numFmtId="175" fontId="0" fillId="0" borderId="18" xfId="29" applyNumberFormat="1" applyFont="1" applyBorder="1">
      <alignment readingOrder="1"/>
    </xf>
    <xf numFmtId="0" fontId="3" fillId="33" borderId="60" xfId="44" applyFont="1" applyFill="1" applyBorder="1" applyAlignment="1">
      <alignment wrapText="1"/>
    </xf>
    <xf numFmtId="0" fontId="3" fillId="33" borderId="64" xfId="44" applyFill="1" applyBorder="1" applyAlignment="1">
      <alignment wrapText="1"/>
    </xf>
    <xf numFmtId="44" fontId="3" fillId="0" borderId="10" xfId="30" applyBorder="1" applyAlignment="1" applyProtection="1">
      <alignment horizontal="right"/>
    </xf>
    <xf numFmtId="0" fontId="3" fillId="0" borderId="0" xfId="44" applyFont="1" applyBorder="1"/>
    <xf numFmtId="2" fontId="3" fillId="0" borderId="0" xfId="44" applyNumberFormat="1" applyBorder="1"/>
    <xf numFmtId="175" fontId="0" fillId="0" borderId="0" xfId="0" applyNumberFormat="1">
      <alignment readingOrder="1"/>
    </xf>
    <xf numFmtId="0" fontId="0" fillId="0" borderId="20" xfId="0" applyBorder="1">
      <alignment readingOrder="1"/>
    </xf>
    <xf numFmtId="175" fontId="0" fillId="0" borderId="20" xfId="29" applyNumberFormat="1" applyFont="1" applyBorder="1">
      <alignment readingOrder="1"/>
    </xf>
    <xf numFmtId="43" fontId="0" fillId="0" borderId="20" xfId="29" applyFont="1" applyBorder="1">
      <alignment readingOrder="1"/>
    </xf>
    <xf numFmtId="175" fontId="0" fillId="0" borderId="50" xfId="29" applyNumberFormat="1" applyFont="1" applyBorder="1">
      <alignment readingOrder="1"/>
    </xf>
    <xf numFmtId="43" fontId="0" fillId="0" borderId="15" xfId="29" applyFont="1" applyBorder="1">
      <alignment readingOrder="1"/>
    </xf>
    <xf numFmtId="43" fontId="0" fillId="0" borderId="69" xfId="29" applyFont="1" applyBorder="1">
      <alignment readingOrder="1"/>
    </xf>
    <xf numFmtId="175" fontId="0" fillId="0" borderId="17" xfId="29" applyNumberFormat="1" applyFont="1" applyBorder="1">
      <alignment readingOrder="1"/>
    </xf>
    <xf numFmtId="174" fontId="3" fillId="31" borderId="10" xfId="44" applyNumberFormat="1" applyFill="1" applyBorder="1"/>
    <xf numFmtId="43" fontId="3" fillId="33" borderId="37" xfId="29" applyFill="1" applyBorder="1"/>
    <xf numFmtId="43" fontId="3" fillId="33" borderId="38" xfId="29" applyFill="1" applyBorder="1"/>
    <xf numFmtId="43" fontId="3" fillId="33" borderId="39" xfId="29" applyFill="1" applyBorder="1"/>
    <xf numFmtId="175" fontId="3" fillId="0" borderId="60" xfId="29" applyNumberFormat="1" applyBorder="1"/>
    <xf numFmtId="174" fontId="3" fillId="0" borderId="60" xfId="44" applyNumberFormat="1" applyBorder="1"/>
    <xf numFmtId="174" fontId="3" fillId="0" borderId="64" xfId="44" applyNumberFormat="1" applyBorder="1"/>
    <xf numFmtId="174" fontId="3" fillId="31" borderId="60" xfId="44" applyNumberFormat="1" applyFill="1" applyBorder="1"/>
    <xf numFmtId="174" fontId="3" fillId="31" borderId="64" xfId="44" applyNumberFormat="1" applyFill="1" applyBorder="1"/>
    <xf numFmtId="43" fontId="3" fillId="0" borderId="60" xfId="44" applyNumberFormat="1" applyBorder="1"/>
    <xf numFmtId="43" fontId="3" fillId="0" borderId="64" xfId="44" applyNumberFormat="1" applyBorder="1"/>
    <xf numFmtId="177" fontId="3" fillId="0" borderId="60" xfId="44" applyNumberFormat="1" applyBorder="1"/>
    <xf numFmtId="177" fontId="3" fillId="0" borderId="64" xfId="44" applyNumberFormat="1" applyBorder="1"/>
    <xf numFmtId="170" fontId="3" fillId="0" borderId="60" xfId="29" applyNumberFormat="1" applyBorder="1"/>
    <xf numFmtId="170" fontId="3" fillId="0" borderId="64" xfId="29" applyNumberFormat="1" applyBorder="1"/>
    <xf numFmtId="43" fontId="3" fillId="33" borderId="53" xfId="44" applyNumberFormat="1" applyFill="1" applyBorder="1"/>
    <xf numFmtId="43" fontId="3" fillId="33" borderId="46" xfId="44" applyNumberFormat="1" applyFill="1" applyBorder="1"/>
    <xf numFmtId="43" fontId="3" fillId="33" borderId="54" xfId="44" applyNumberFormat="1" applyFill="1" applyBorder="1"/>
    <xf numFmtId="43" fontId="3" fillId="0" borderId="51" xfId="44" applyNumberFormat="1" applyBorder="1"/>
    <xf numFmtId="43" fontId="3" fillId="0" borderId="63" xfId="44" applyNumberFormat="1" applyBorder="1"/>
    <xf numFmtId="170" fontId="3" fillId="0" borderId="37" xfId="29" applyNumberFormat="1" applyBorder="1"/>
    <xf numFmtId="170" fontId="3" fillId="0" borderId="38" xfId="29" applyNumberFormat="1" applyBorder="1"/>
    <xf numFmtId="170" fontId="3" fillId="0" borderId="39" xfId="29" applyNumberFormat="1" applyBorder="1"/>
    <xf numFmtId="0" fontId="12" fillId="0" borderId="31" xfId="44" applyFont="1" applyBorder="1"/>
    <xf numFmtId="0" fontId="12" fillId="0" borderId="33" xfId="44" applyFont="1" applyBorder="1"/>
    <xf numFmtId="0" fontId="3" fillId="0" borderId="10" xfId="44" applyFont="1" applyBorder="1"/>
    <xf numFmtId="175" fontId="3" fillId="0" borderId="12" xfId="29" applyNumberFormat="1" applyBorder="1"/>
    <xf numFmtId="0" fontId="3" fillId="28" borderId="29" xfId="44" applyFont="1" applyFill="1" applyBorder="1" applyAlignment="1">
      <alignment horizontal="right" wrapText="1"/>
    </xf>
    <xf numFmtId="0" fontId="3" fillId="0" borderId="28" xfId="44" applyFont="1" applyBorder="1"/>
    <xf numFmtId="9" fontId="3" fillId="0" borderId="28" xfId="52" applyBorder="1"/>
    <xf numFmtId="43" fontId="3" fillId="0" borderId="0" xfId="29" applyBorder="1"/>
    <xf numFmtId="2" fontId="0" fillId="0" borderId="0" xfId="0" applyNumberFormat="1" applyAlignment="1">
      <alignment horizontal="right"/>
    </xf>
    <xf numFmtId="2" fontId="18" fillId="0" borderId="0" xfId="0" applyNumberFormat="1" applyFont="1" applyAlignment="1">
      <alignment horizontal="right"/>
    </xf>
    <xf numFmtId="2" fontId="21" fillId="0" borderId="4" xfId="0" applyNumberFormat="1" applyFont="1" applyBorder="1" applyAlignment="1">
      <alignment horizontal="right"/>
    </xf>
    <xf numFmtId="178" fontId="21" fillId="0" borderId="4" xfId="0" applyNumberFormat="1" applyFont="1" applyBorder="1" applyAlignment="1" applyProtection="1">
      <alignment horizontal="center"/>
    </xf>
    <xf numFmtId="178" fontId="21" fillId="0" borderId="4" xfId="0" quotePrefix="1" applyNumberFormat="1" applyFont="1" applyBorder="1" applyAlignment="1" applyProtection="1">
      <alignment horizontal="right"/>
    </xf>
    <xf numFmtId="178" fontId="21" fillId="0" borderId="4" xfId="0" applyNumberFormat="1" applyFont="1" applyBorder="1" applyAlignment="1" applyProtection="1">
      <alignment horizontal="right"/>
    </xf>
    <xf numFmtId="178" fontId="21" fillId="0" borderId="4" xfId="0" quotePrefix="1" applyNumberFormat="1" applyFont="1" applyBorder="1" applyAlignment="1" applyProtection="1">
      <alignment horizontal="center"/>
    </xf>
    <xf numFmtId="178" fontId="21" fillId="0" borderId="0" xfId="0" quotePrefix="1" applyNumberFormat="1" applyFont="1" applyBorder="1" applyAlignment="1" applyProtection="1">
      <alignment horizontal="center"/>
    </xf>
    <xf numFmtId="2" fontId="0" fillId="0" borderId="23" xfId="0" applyNumberFormat="1" applyBorder="1" applyAlignment="1">
      <alignment horizontal="right"/>
    </xf>
    <xf numFmtId="2" fontId="0" fillId="0" borderId="0" xfId="0" applyNumberFormat="1" applyBorder="1" applyAlignment="1">
      <alignment horizontal="right"/>
    </xf>
    <xf numFmtId="178" fontId="0" fillId="0" borderId="0" xfId="0" applyNumberFormat="1" applyBorder="1" applyAlignment="1" applyProtection="1">
      <alignment horizontal="center"/>
    </xf>
    <xf numFmtId="2" fontId="0" fillId="0" borderId="17" xfId="0" applyNumberFormat="1" applyBorder="1" applyAlignment="1">
      <alignment horizontal="right"/>
    </xf>
    <xf numFmtId="2" fontId="0" fillId="0" borderId="17" xfId="0" applyNumberFormat="1" applyBorder="1" applyAlignment="1">
      <alignment horizontal="center"/>
    </xf>
    <xf numFmtId="37" fontId="20" fillId="0" borderId="0" xfId="0" applyNumberFormat="1" applyFont="1" applyAlignment="1" applyProtection="1">
      <alignment horizontal="center"/>
    </xf>
    <xf numFmtId="37" fontId="20" fillId="0" borderId="0" xfId="0" applyNumberFormat="1" applyFont="1" applyAlignment="1" applyProtection="1">
      <alignment horizontal="right"/>
    </xf>
    <xf numFmtId="2" fontId="20" fillId="0" borderId="17" xfId="0" applyNumberFormat="1" applyFont="1" applyBorder="1" applyAlignment="1">
      <alignment horizontal="center"/>
    </xf>
    <xf numFmtId="37" fontId="20" fillId="0" borderId="0" xfId="0" applyNumberFormat="1" applyFont="1" applyBorder="1" applyAlignment="1" applyProtection="1">
      <alignment horizontal="center"/>
    </xf>
    <xf numFmtId="37" fontId="0" fillId="0" borderId="0" xfId="0" applyNumberFormat="1" applyBorder="1" applyAlignment="1" applyProtection="1">
      <alignment horizontal="right"/>
    </xf>
    <xf numFmtId="37" fontId="0" fillId="0" borderId="0" xfId="0" applyNumberFormat="1" applyAlignment="1" applyProtection="1">
      <alignment horizontal="center"/>
    </xf>
    <xf numFmtId="37" fontId="0" fillId="0" borderId="0" xfId="0" applyNumberFormat="1" applyAlignment="1" applyProtection="1">
      <alignment horizontal="right"/>
    </xf>
    <xf numFmtId="165" fontId="0" fillId="0" borderId="0" xfId="0" applyNumberFormat="1" applyFill="1" applyAlignment="1" applyProtection="1">
      <alignment horizontal="right"/>
    </xf>
    <xf numFmtId="165" fontId="0" fillId="0" borderId="0" xfId="0" applyNumberFormat="1" applyFill="1" applyBorder="1" applyAlignment="1" applyProtection="1">
      <alignment horizontal="right"/>
    </xf>
    <xf numFmtId="165" fontId="0" fillId="0" borderId="0" xfId="0" applyNumberFormat="1" applyFill="1" applyBorder="1" applyAlignment="1" applyProtection="1"/>
    <xf numFmtId="172" fontId="0" fillId="0" borderId="0" xfId="0" applyNumberFormat="1" applyBorder="1" applyAlignment="1" applyProtection="1">
      <alignment horizontal="right"/>
    </xf>
    <xf numFmtId="179" fontId="0" fillId="0" borderId="0" xfId="0" applyNumberFormat="1" applyAlignment="1" applyProtection="1">
      <alignment horizontal="right"/>
    </xf>
    <xf numFmtId="179" fontId="0" fillId="0" borderId="0" xfId="0" applyNumberFormat="1" applyBorder="1" applyAlignment="1" applyProtection="1">
      <alignment horizontal="right"/>
    </xf>
    <xf numFmtId="179" fontId="0" fillId="0" borderId="0" xfId="0" applyNumberFormat="1" applyBorder="1" applyAlignment="1" applyProtection="1"/>
    <xf numFmtId="37" fontId="0" fillId="0" borderId="17" xfId="0" applyNumberFormat="1" applyBorder="1" applyAlignment="1" applyProtection="1">
      <alignment horizontal="left"/>
    </xf>
    <xf numFmtId="37" fontId="0" fillId="0" borderId="0" xfId="0" applyNumberFormat="1" applyBorder="1" applyAlignment="1" applyProtection="1">
      <alignment horizontal="left"/>
    </xf>
    <xf numFmtId="172" fontId="0" fillId="0" borderId="0" xfId="0" applyNumberFormat="1" applyBorder="1" applyAlignment="1" applyProtection="1"/>
    <xf numFmtId="37" fontId="20" fillId="0" borderId="14" xfId="0" applyNumberFormat="1" applyFont="1" applyBorder="1" applyAlignment="1" applyProtection="1">
      <alignment horizontal="center"/>
    </xf>
    <xf numFmtId="37" fontId="20" fillId="0" borderId="14" xfId="0" applyNumberFormat="1" applyFont="1" applyBorder="1" applyAlignment="1" applyProtection="1">
      <alignment horizontal="right"/>
    </xf>
    <xf numFmtId="37" fontId="20" fillId="0" borderId="18" xfId="0" applyNumberFormat="1" applyFont="1" applyBorder="1" applyAlignment="1" applyProtection="1">
      <alignment horizontal="right"/>
    </xf>
    <xf numFmtId="2" fontId="0" fillId="0" borderId="18" xfId="0" applyNumberFormat="1" applyBorder="1" applyAlignment="1">
      <alignment horizontal="center"/>
    </xf>
    <xf numFmtId="2" fontId="0" fillId="0" borderId="0" xfId="0" applyNumberFormat="1" applyAlignment="1" applyProtection="1">
      <alignment horizontal="right"/>
    </xf>
    <xf numFmtId="2" fontId="20" fillId="0" borderId="0" xfId="0" applyNumberFormat="1" applyFont="1" applyAlignment="1" applyProtection="1">
      <alignment horizontal="right"/>
    </xf>
    <xf numFmtId="0" fontId="3" fillId="28" borderId="47" xfId="44" applyFont="1" applyFill="1" applyBorder="1" applyAlignment="1">
      <alignment wrapText="1"/>
    </xf>
    <xf numFmtId="0" fontId="3" fillId="28" borderId="48" xfId="44" applyFont="1" applyFill="1" applyBorder="1" applyAlignment="1">
      <alignment wrapText="1"/>
    </xf>
    <xf numFmtId="0" fontId="3" fillId="28" borderId="55" xfId="44" applyFont="1" applyFill="1" applyBorder="1" applyAlignment="1">
      <alignment wrapText="1"/>
    </xf>
    <xf numFmtId="9" fontId="3" fillId="0" borderId="10" xfId="52" applyFill="1" applyBorder="1"/>
    <xf numFmtId="0" fontId="3" fillId="0" borderId="10" xfId="44" applyFont="1" applyFill="1" applyBorder="1"/>
    <xf numFmtId="43" fontId="3" fillId="0" borderId="10" xfId="29" applyBorder="1"/>
    <xf numFmtId="9" fontId="0" fillId="0" borderId="10" xfId="0" applyNumberFormat="1" applyBorder="1">
      <alignment readingOrder="1"/>
    </xf>
    <xf numFmtId="177" fontId="3" fillId="0" borderId="12" xfId="44" applyNumberFormat="1" applyBorder="1"/>
    <xf numFmtId="177" fontId="3" fillId="0" borderId="21" xfId="44" applyNumberFormat="1" applyBorder="1"/>
    <xf numFmtId="0" fontId="3" fillId="28" borderId="47" xfId="44" applyFill="1" applyBorder="1" applyAlignment="1">
      <alignment horizontal="right" wrapText="1"/>
    </xf>
    <xf numFmtId="177" fontId="3" fillId="0" borderId="38" xfId="44" applyNumberFormat="1" applyBorder="1"/>
    <xf numFmtId="177" fontId="3" fillId="0" borderId="39" xfId="44" applyNumberFormat="1" applyBorder="1"/>
    <xf numFmtId="0" fontId="3" fillId="28" borderId="53" xfId="44" applyFill="1" applyBorder="1" applyAlignment="1">
      <alignment horizontal="right" wrapText="1"/>
    </xf>
    <xf numFmtId="177" fontId="3" fillId="0" borderId="46" xfId="44" applyNumberFormat="1" applyBorder="1"/>
    <xf numFmtId="177" fontId="3" fillId="0" borderId="54" xfId="44" applyNumberFormat="1" applyBorder="1"/>
    <xf numFmtId="173" fontId="3" fillId="0" borderId="37" xfId="49" applyNumberFormat="1" applyFont="1" applyBorder="1" applyAlignment="1" applyProtection="1">
      <alignment horizontal="left"/>
    </xf>
    <xf numFmtId="0" fontId="3" fillId="0" borderId="38" xfId="47" applyFont="1" applyBorder="1"/>
    <xf numFmtId="173" fontId="3" fillId="0" borderId="38" xfId="49" applyNumberFormat="1" applyBorder="1" applyAlignment="1" applyProtection="1">
      <alignment horizontal="right"/>
    </xf>
    <xf numFmtId="44" fontId="3" fillId="0" borderId="38" xfId="30" applyBorder="1" applyAlignment="1" applyProtection="1">
      <alignment horizontal="right"/>
    </xf>
    <xf numFmtId="2" fontId="5" fillId="0" borderId="38" xfId="46" applyNumberFormat="1" applyFont="1" applyBorder="1"/>
    <xf numFmtId="0" fontId="3" fillId="0" borderId="38" xfId="47" applyBorder="1"/>
    <xf numFmtId="0" fontId="3" fillId="0" borderId="39" xfId="47" applyBorder="1"/>
    <xf numFmtId="173" fontId="3" fillId="0" borderId="60" xfId="49" applyNumberFormat="1" applyFont="1" applyBorder="1" applyAlignment="1" applyProtection="1">
      <alignment horizontal="left"/>
    </xf>
    <xf numFmtId="0" fontId="3" fillId="0" borderId="64" xfId="47" applyBorder="1"/>
    <xf numFmtId="173" fontId="3" fillId="0" borderId="53" xfId="49" applyNumberFormat="1" applyFont="1" applyBorder="1" applyAlignment="1" applyProtection="1">
      <alignment horizontal="left"/>
    </xf>
    <xf numFmtId="0" fontId="3" fillId="0" borderId="46" xfId="47" applyFont="1" applyBorder="1"/>
    <xf numFmtId="173" fontId="3" fillId="0" borderId="46" xfId="49" applyNumberFormat="1" applyBorder="1" applyAlignment="1" applyProtection="1">
      <alignment horizontal="right"/>
    </xf>
    <xf numFmtId="2" fontId="5" fillId="0" borderId="46" xfId="46" applyNumberFormat="1" applyFont="1" applyBorder="1"/>
    <xf numFmtId="0" fontId="3" fillId="0" borderId="46" xfId="47" applyBorder="1"/>
    <xf numFmtId="0" fontId="3" fillId="0" borderId="54" xfId="47" applyBorder="1"/>
    <xf numFmtId="43" fontId="3" fillId="0" borderId="38" xfId="29" applyFont="1" applyBorder="1"/>
    <xf numFmtId="43" fontId="3" fillId="0" borderId="10" xfId="29" applyFont="1" applyBorder="1"/>
    <xf numFmtId="43" fontId="3" fillId="0" borderId="46" xfId="29" applyFont="1" applyBorder="1"/>
    <xf numFmtId="44" fontId="3" fillId="0" borderId="12" xfId="30" applyBorder="1" applyAlignment="1" applyProtection="1">
      <alignment horizontal="right"/>
    </xf>
    <xf numFmtId="0" fontId="3" fillId="0" borderId="12" xfId="47" applyFont="1" applyBorder="1"/>
    <xf numFmtId="43" fontId="3" fillId="0" borderId="12" xfId="29" applyFont="1" applyBorder="1"/>
    <xf numFmtId="2" fontId="5" fillId="0" borderId="12" xfId="46" applyNumberFormat="1" applyFont="1" applyBorder="1"/>
    <xf numFmtId="0" fontId="3" fillId="0" borderId="12" xfId="47" applyBorder="1"/>
    <xf numFmtId="0" fontId="3" fillId="0" borderId="63" xfId="47" applyBorder="1"/>
    <xf numFmtId="3" fontId="0" fillId="0" borderId="0" xfId="0" applyNumberFormat="1">
      <alignment readingOrder="1"/>
    </xf>
    <xf numFmtId="175" fontId="0" fillId="0" borderId="0" xfId="29" applyNumberFormat="1" applyFont="1">
      <alignment readingOrder="1"/>
    </xf>
    <xf numFmtId="0" fontId="12" fillId="33" borderId="10" xfId="44" applyFont="1" applyFill="1" applyBorder="1" applyAlignment="1">
      <alignment horizontal="center" wrapText="1"/>
    </xf>
    <xf numFmtId="170" fontId="3" fillId="0" borderId="12" xfId="29" applyNumberFormat="1" applyBorder="1"/>
    <xf numFmtId="6" fontId="3" fillId="0" borderId="12" xfId="44" applyNumberFormat="1" applyBorder="1"/>
    <xf numFmtId="0" fontId="3" fillId="36" borderId="34" xfId="44" applyFont="1" applyFill="1" applyBorder="1"/>
    <xf numFmtId="0" fontId="3" fillId="36" borderId="33" xfId="44" applyFill="1" applyBorder="1"/>
    <xf numFmtId="9" fontId="3" fillId="36" borderId="36" xfId="52" applyFill="1" applyBorder="1"/>
    <xf numFmtId="0" fontId="3" fillId="36" borderId="36" xfId="44" applyFill="1" applyBorder="1"/>
    <xf numFmtId="170" fontId="3" fillId="36" borderId="36" xfId="29" applyNumberFormat="1" applyFill="1" applyBorder="1"/>
    <xf numFmtId="6" fontId="3" fillId="36" borderId="36" xfId="44" applyNumberFormat="1" applyFill="1" applyBorder="1"/>
    <xf numFmtId="0" fontId="3" fillId="36" borderId="32" xfId="44" applyFill="1" applyBorder="1"/>
    <xf numFmtId="9" fontId="0" fillId="31" borderId="40" xfId="52" applyFont="1" applyFill="1" applyBorder="1">
      <alignment readingOrder="1"/>
    </xf>
    <xf numFmtId="0" fontId="12" fillId="33" borderId="37" xfId="44" applyFont="1" applyFill="1" applyBorder="1" applyAlignment="1">
      <alignment horizontal="center" wrapText="1"/>
    </xf>
    <xf numFmtId="9" fontId="3" fillId="0" borderId="0" xfId="52" applyBorder="1"/>
    <xf numFmtId="175" fontId="3" fillId="0" borderId="0" xfId="29" applyNumberFormat="1" applyBorder="1"/>
    <xf numFmtId="175" fontId="3" fillId="31" borderId="34" xfId="29" applyNumberFormat="1" applyFill="1" applyBorder="1"/>
    <xf numFmtId="175" fontId="3" fillId="31" borderId="43" xfId="29" applyNumberFormat="1" applyFill="1" applyBorder="1"/>
    <xf numFmtId="37" fontId="0" fillId="0" borderId="0" xfId="0" applyNumberFormat="1"/>
    <xf numFmtId="37" fontId="0" fillId="0" borderId="0" xfId="0" applyNumberFormat="1" applyAlignment="1">
      <alignment horizontal="center"/>
    </xf>
    <xf numFmtId="37" fontId="0" fillId="0" borderId="0" xfId="0" applyNumberFormat="1" applyBorder="1"/>
    <xf numFmtId="37" fontId="18" fillId="0" borderId="0" xfId="0" applyNumberFormat="1" applyFont="1" applyBorder="1"/>
    <xf numFmtId="37" fontId="19" fillId="0" borderId="0" xfId="0" quotePrefix="1" applyNumberFormat="1" applyFont="1" applyBorder="1" applyAlignment="1">
      <alignment horizontal="left"/>
    </xf>
    <xf numFmtId="37" fontId="19" fillId="0" borderId="0" xfId="0" applyNumberFormat="1" applyFont="1" applyBorder="1"/>
    <xf numFmtId="37" fontId="18" fillId="0" borderId="0" xfId="0" applyNumberFormat="1" applyFont="1"/>
    <xf numFmtId="37" fontId="18" fillId="0" borderId="0" xfId="0" applyNumberFormat="1" applyFont="1" applyAlignment="1">
      <alignment horizontal="center"/>
    </xf>
    <xf numFmtId="37" fontId="18" fillId="0" borderId="0" xfId="0" applyNumberFormat="1" applyFont="1" applyAlignment="1">
      <alignment horizontal="right"/>
    </xf>
    <xf numFmtId="37" fontId="19" fillId="0" borderId="0" xfId="0" applyNumberFormat="1" applyFont="1"/>
    <xf numFmtId="37" fontId="20" fillId="0" borderId="0" xfId="0" applyNumberFormat="1" applyFont="1" applyBorder="1"/>
    <xf numFmtId="37" fontId="20" fillId="0" borderId="0" xfId="0" applyNumberFormat="1" applyFont="1"/>
    <xf numFmtId="37" fontId="21" fillId="0" borderId="4" xfId="0" applyNumberFormat="1" applyFont="1" applyBorder="1" applyAlignment="1" applyProtection="1">
      <alignment horizontal="left"/>
    </xf>
    <xf numFmtId="37" fontId="21" fillId="0" borderId="13" xfId="0" applyNumberFormat="1" applyFont="1" applyBorder="1"/>
    <xf numFmtId="37" fontId="21" fillId="0" borderId="4" xfId="0" applyNumberFormat="1" applyFont="1" applyBorder="1"/>
    <xf numFmtId="37" fontId="21" fillId="0" borderId="4" xfId="0" applyNumberFormat="1" applyFont="1" applyBorder="1" applyAlignment="1" applyProtection="1">
      <alignment horizontal="center"/>
    </xf>
    <xf numFmtId="37" fontId="0" fillId="0" borderId="4" xfId="0" applyNumberFormat="1" applyBorder="1"/>
    <xf numFmtId="37" fontId="21" fillId="0" borderId="13" xfId="0" applyNumberFormat="1" applyFont="1" applyBorder="1" applyAlignment="1" applyProtection="1">
      <alignment horizontal="center"/>
    </xf>
    <xf numFmtId="37" fontId="21" fillId="0" borderId="0" xfId="0" applyNumberFormat="1" applyFont="1" applyBorder="1"/>
    <xf numFmtId="37" fontId="21" fillId="0" borderId="0" xfId="0" quotePrefix="1" applyNumberFormat="1" applyFont="1" applyBorder="1" applyAlignment="1" applyProtection="1">
      <alignment horizontal="center"/>
    </xf>
    <xf numFmtId="37" fontId="21" fillId="0" borderId="0" xfId="0" applyNumberFormat="1" applyFont="1" applyBorder="1" applyAlignment="1" applyProtection="1">
      <alignment horizontal="center"/>
    </xf>
    <xf numFmtId="178" fontId="0" fillId="0" borderId="0" xfId="0" applyNumberFormat="1" applyBorder="1" applyProtection="1"/>
    <xf numFmtId="37" fontId="21" fillId="0" borderId="17" xfId="0" applyNumberFormat="1" applyFont="1" applyBorder="1"/>
    <xf numFmtId="178" fontId="21" fillId="0" borderId="0" xfId="0" applyNumberFormat="1" applyFont="1" applyBorder="1" applyAlignment="1" applyProtection="1">
      <alignment horizontal="right"/>
    </xf>
    <xf numFmtId="37" fontId="0" fillId="0" borderId="17" xfId="0" applyNumberFormat="1" applyBorder="1"/>
    <xf numFmtId="37" fontId="0" fillId="0" borderId="19" xfId="0" applyNumberFormat="1" applyBorder="1"/>
    <xf numFmtId="37" fontId="0" fillId="0" borderId="23" xfId="0" applyNumberFormat="1" applyBorder="1"/>
    <xf numFmtId="37" fontId="0" fillId="0" borderId="11" xfId="0" applyNumberFormat="1" applyBorder="1"/>
    <xf numFmtId="37" fontId="0" fillId="0" borderId="23" xfId="0" applyNumberFormat="1" applyBorder="1" applyAlignment="1">
      <alignment horizontal="center"/>
    </xf>
    <xf numFmtId="178" fontId="0" fillId="0" borderId="0" xfId="0" applyNumberFormat="1" applyBorder="1" applyAlignment="1" applyProtection="1"/>
    <xf numFmtId="37" fontId="0" fillId="0" borderId="0" xfId="0" quotePrefix="1" applyNumberFormat="1" applyAlignment="1">
      <alignment horizontal="left"/>
    </xf>
    <xf numFmtId="2" fontId="0" fillId="0" borderId="0" xfId="0" applyNumberFormat="1" applyBorder="1"/>
    <xf numFmtId="37" fontId="0" fillId="0" borderId="15" xfId="0" quotePrefix="1" applyNumberFormat="1" applyBorder="1" applyAlignment="1">
      <alignment horizontal="left"/>
    </xf>
    <xf numFmtId="2" fontId="0" fillId="0" borderId="17" xfId="0" applyNumberFormat="1" applyBorder="1"/>
    <xf numFmtId="37" fontId="0" fillId="0" borderId="0" xfId="0" quotePrefix="1" applyNumberFormat="1" applyAlignment="1">
      <alignment horizontal="center"/>
    </xf>
    <xf numFmtId="37" fontId="0" fillId="0" borderId="15" xfId="0" applyNumberFormat="1" applyBorder="1"/>
    <xf numFmtId="37" fontId="20" fillId="0" borderId="0" xfId="0" applyNumberFormat="1" applyFont="1" applyAlignment="1" applyProtection="1">
      <alignment horizontal="left"/>
    </xf>
    <xf numFmtId="37" fontId="20" fillId="0" borderId="17" xfId="0" applyNumberFormat="1" applyFont="1" applyBorder="1"/>
    <xf numFmtId="37" fontId="20" fillId="0" borderId="0" xfId="0" applyNumberFormat="1" applyFont="1" applyBorder="1" applyAlignment="1" applyProtection="1">
      <alignment horizontal="right"/>
    </xf>
    <xf numFmtId="37" fontId="20" fillId="0" borderId="0" xfId="0" applyNumberFormat="1" applyFont="1" applyAlignment="1" applyProtection="1"/>
    <xf numFmtId="37" fontId="39" fillId="0" borderId="0" xfId="0" applyNumberFormat="1" applyFont="1" applyProtection="1"/>
    <xf numFmtId="37" fontId="39" fillId="0" borderId="0" xfId="0" applyNumberFormat="1" applyFont="1" applyBorder="1" applyProtection="1"/>
    <xf numFmtId="2" fontId="20" fillId="0" borderId="17" xfId="0" applyNumberFormat="1" applyFont="1" applyBorder="1"/>
    <xf numFmtId="37" fontId="20" fillId="0" borderId="15" xfId="0" applyNumberFormat="1" applyFont="1" applyBorder="1"/>
    <xf numFmtId="37" fontId="20" fillId="0" borderId="0" xfId="0" applyNumberFormat="1" applyFont="1" applyAlignment="1">
      <alignment horizontal="right"/>
    </xf>
    <xf numFmtId="37" fontId="20" fillId="0" borderId="15" xfId="0" applyNumberFormat="1" applyFont="1" applyBorder="1" applyAlignment="1">
      <alignment horizontal="right"/>
    </xf>
    <xf numFmtId="2" fontId="20" fillId="0" borderId="0" xfId="0" applyNumberFormat="1" applyFont="1" applyBorder="1"/>
    <xf numFmtId="37" fontId="20" fillId="0" borderId="0" xfId="0" applyNumberFormat="1" applyFont="1" applyBorder="1" applyAlignment="1">
      <alignment horizontal="right"/>
    </xf>
    <xf numFmtId="10" fontId="20" fillId="0" borderId="17" xfId="0" applyNumberFormat="1" applyFont="1" applyBorder="1" applyAlignment="1">
      <alignment horizontal="right"/>
    </xf>
    <xf numFmtId="37" fontId="0" fillId="0" borderId="17" xfId="0" applyNumberFormat="1" applyFont="1" applyBorder="1" applyAlignment="1" applyProtection="1">
      <alignment horizontal="left"/>
    </xf>
    <xf numFmtId="37" fontId="0" fillId="0" borderId="0" xfId="0" applyNumberFormat="1" applyAlignment="1"/>
    <xf numFmtId="37" fontId="0" fillId="0" borderId="0" xfId="0" applyNumberFormat="1" applyProtection="1"/>
    <xf numFmtId="37" fontId="0" fillId="0" borderId="0" xfId="0" applyNumberFormat="1" applyBorder="1" applyProtection="1"/>
    <xf numFmtId="37" fontId="0" fillId="0" borderId="15" xfId="0" applyNumberFormat="1" applyFont="1" applyBorder="1" applyAlignment="1">
      <alignment horizontal="right"/>
    </xf>
    <xf numFmtId="2" fontId="0" fillId="0" borderId="0" xfId="0" applyNumberFormat="1" applyFont="1" applyBorder="1"/>
    <xf numFmtId="2" fontId="0" fillId="0" borderId="17" xfId="0" applyNumberFormat="1" applyFont="1" applyBorder="1"/>
    <xf numFmtId="10" fontId="0" fillId="0" borderId="17" xfId="0" applyNumberFormat="1" applyFont="1" applyBorder="1" applyAlignment="1">
      <alignment horizontal="right"/>
    </xf>
    <xf numFmtId="37" fontId="20" fillId="0" borderId="20" xfId="0" applyNumberFormat="1" applyFont="1" applyBorder="1" applyAlignment="1" applyProtection="1">
      <alignment horizontal="center"/>
    </xf>
    <xf numFmtId="37" fontId="0" fillId="0" borderId="0" xfId="0" applyNumberFormat="1" applyAlignment="1">
      <alignment horizontal="right"/>
    </xf>
    <xf numFmtId="10" fontId="0" fillId="0" borderId="17" xfId="0" applyNumberFormat="1" applyBorder="1" applyAlignment="1">
      <alignment horizontal="right"/>
    </xf>
    <xf numFmtId="37" fontId="0" fillId="0" borderId="0" xfId="0" applyNumberFormat="1" applyBorder="1" applyAlignment="1">
      <alignment horizontal="right"/>
    </xf>
    <xf numFmtId="37" fontId="20" fillId="0" borderId="0" xfId="0" applyNumberFormat="1" applyFont="1" applyBorder="1" applyAlignment="1" applyProtection="1"/>
    <xf numFmtId="37" fontId="0" fillId="0" borderId="17" xfId="0" applyNumberFormat="1" applyBorder="1" applyProtection="1"/>
    <xf numFmtId="37" fontId="0" fillId="0" borderId="0" xfId="0" applyNumberFormat="1" applyFont="1" applyAlignment="1" applyProtection="1">
      <alignment horizontal="right"/>
    </xf>
    <xf numFmtId="37" fontId="0" fillId="0" borderId="0" xfId="0" applyNumberFormat="1" applyBorder="1" applyAlignment="1" applyProtection="1"/>
    <xf numFmtId="0" fontId="0" fillId="0" borderId="0" xfId="0" applyNumberFormat="1"/>
    <xf numFmtId="0" fontId="0" fillId="0" borderId="0" xfId="0" applyNumberFormat="1" applyBorder="1"/>
    <xf numFmtId="37" fontId="20" fillId="0" borderId="14" xfId="0" applyNumberFormat="1" applyFont="1" applyBorder="1" applyAlignment="1" applyProtection="1">
      <alignment horizontal="left"/>
    </xf>
    <xf numFmtId="37" fontId="0" fillId="0" borderId="18" xfId="0" applyNumberFormat="1" applyBorder="1"/>
    <xf numFmtId="37" fontId="0" fillId="0" borderId="14" xfId="0" applyNumberFormat="1" applyBorder="1"/>
    <xf numFmtId="37" fontId="20" fillId="0" borderId="14" xfId="0" applyNumberFormat="1" applyFont="1" applyBorder="1" applyAlignment="1" applyProtection="1"/>
    <xf numFmtId="37" fontId="39" fillId="0" borderId="14" xfId="0" applyNumberFormat="1" applyFont="1" applyBorder="1" applyProtection="1"/>
    <xf numFmtId="37" fontId="20" fillId="0" borderId="14" xfId="0" applyNumberFormat="1" applyFont="1" applyBorder="1"/>
    <xf numFmtId="2" fontId="0" fillId="0" borderId="18" xfId="0" applyNumberFormat="1" applyBorder="1"/>
    <xf numFmtId="2" fontId="0" fillId="0" borderId="14" xfId="0" applyNumberFormat="1" applyBorder="1"/>
    <xf numFmtId="37" fontId="20" fillId="0" borderId="16" xfId="0" applyNumberFormat="1" applyFont="1" applyBorder="1"/>
    <xf numFmtId="37" fontId="20" fillId="0" borderId="18" xfId="0" applyNumberFormat="1" applyFont="1" applyBorder="1" applyAlignment="1" applyProtection="1">
      <alignment horizontal="left"/>
    </xf>
    <xf numFmtId="10" fontId="20" fillId="0" borderId="18" xfId="0" applyNumberFormat="1" applyFont="1" applyBorder="1" applyAlignment="1" applyProtection="1">
      <alignment horizontal="right"/>
    </xf>
    <xf numFmtId="37" fontId="39" fillId="0" borderId="16" xfId="0" applyNumberFormat="1" applyFont="1" applyBorder="1" applyProtection="1"/>
    <xf numFmtId="37" fontId="20" fillId="0" borderId="0" xfId="0" applyNumberFormat="1" applyFont="1" applyProtection="1"/>
    <xf numFmtId="37" fontId="3" fillId="0" borderId="10" xfId="44" applyNumberFormat="1" applyBorder="1" applyAlignment="1">
      <alignment wrapText="1"/>
    </xf>
    <xf numFmtId="0" fontId="12" fillId="0" borderId="0" xfId="0" applyFont="1">
      <alignment readingOrder="1"/>
    </xf>
    <xf numFmtId="49" fontId="0" fillId="0" borderId="0" xfId="0" applyNumberFormat="1">
      <alignment readingOrder="1"/>
    </xf>
    <xf numFmtId="0" fontId="0" fillId="39" borderId="0" xfId="0" applyFill="1">
      <alignment readingOrder="1"/>
    </xf>
    <xf numFmtId="0" fontId="0" fillId="0" borderId="0" xfId="0" applyFill="1">
      <alignment readingOrder="1"/>
    </xf>
    <xf numFmtId="0" fontId="0" fillId="0" borderId="0" xfId="0" quotePrefix="1" applyFill="1">
      <alignment readingOrder="1"/>
    </xf>
    <xf numFmtId="0" fontId="0" fillId="0" borderId="0" xfId="0"/>
    <xf numFmtId="0" fontId="40" fillId="40" borderId="10" xfId="0" applyFont="1" applyFill="1" applyBorder="1"/>
    <xf numFmtId="0" fontId="40" fillId="41" borderId="11" xfId="0" applyFont="1" applyFill="1" applyBorder="1"/>
    <xf numFmtId="0" fontId="40" fillId="41" borderId="19" xfId="0" applyFont="1" applyFill="1" applyBorder="1"/>
    <xf numFmtId="0" fontId="40" fillId="41" borderId="23" xfId="0" applyFont="1" applyFill="1" applyBorder="1"/>
    <xf numFmtId="9" fontId="12" fillId="0" borderId="0" xfId="0" applyNumberFormat="1" applyFont="1">
      <alignment readingOrder="1"/>
    </xf>
    <xf numFmtId="0" fontId="40" fillId="41" borderId="16" xfId="0" applyFont="1" applyFill="1" applyBorder="1"/>
    <xf numFmtId="0" fontId="40" fillId="41" borderId="18" xfId="0" applyFont="1" applyFill="1" applyBorder="1"/>
    <xf numFmtId="1" fontId="0" fillId="0" borderId="0" xfId="0" applyNumberFormat="1">
      <alignment readingOrder="1"/>
    </xf>
    <xf numFmtId="1" fontId="12" fillId="0" borderId="0" xfId="0" applyNumberFormat="1" applyFont="1">
      <alignment readingOrder="1"/>
    </xf>
    <xf numFmtId="0" fontId="40" fillId="41" borderId="10" xfId="0" applyFont="1" applyFill="1" applyBorder="1"/>
    <xf numFmtId="9" fontId="5" fillId="42" borderId="0" xfId="52" applyFont="1" applyFill="1" applyAlignment="1">
      <alignment horizontal="center" readingOrder="1"/>
    </xf>
    <xf numFmtId="165" fontId="0" fillId="42" borderId="0" xfId="0" applyNumberFormat="1" applyFill="1" applyAlignment="1">
      <alignment horizontal="center" readingOrder="1"/>
    </xf>
    <xf numFmtId="9" fontId="40" fillId="41" borderId="10" xfId="52" applyFont="1" applyFill="1" applyBorder="1"/>
    <xf numFmtId="0" fontId="40" fillId="41" borderId="14" xfId="0" applyFont="1" applyFill="1" applyBorder="1"/>
    <xf numFmtId="1" fontId="0" fillId="42" borderId="0" xfId="0" applyNumberFormat="1" applyFill="1" applyAlignment="1">
      <alignment horizontal="center" readingOrder="1"/>
    </xf>
    <xf numFmtId="2" fontId="0" fillId="0" borderId="0" xfId="0" applyNumberFormat="1">
      <alignment readingOrder="1"/>
    </xf>
    <xf numFmtId="165" fontId="0" fillId="43" borderId="0" xfId="0" applyNumberFormat="1" applyFill="1" applyAlignment="1">
      <alignment horizontal="center" readingOrder="1"/>
    </xf>
    <xf numFmtId="165"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180" fontId="0" fillId="0" borderId="0" xfId="0" applyNumberFormat="1">
      <alignment readingOrder="1"/>
    </xf>
    <xf numFmtId="0" fontId="40" fillId="42" borderId="10" xfId="0" applyFont="1" applyFill="1" applyBorder="1"/>
    <xf numFmtId="165" fontId="40" fillId="42" borderId="10" xfId="0" applyNumberFormat="1" applyFont="1" applyFill="1" applyBorder="1"/>
    <xf numFmtId="0" fontId="41" fillId="0" borderId="0" xfId="58" applyFont="1"/>
    <xf numFmtId="0" fontId="42" fillId="38" borderId="31" xfId="58" applyFont="1" applyFill="1" applyBorder="1"/>
    <xf numFmtId="0" fontId="42" fillId="38" borderId="33" xfId="58" applyFont="1" applyFill="1" applyBorder="1"/>
    <xf numFmtId="0" fontId="42" fillId="38" borderId="32" xfId="58" applyFont="1" applyFill="1" applyBorder="1"/>
    <xf numFmtId="0" fontId="43" fillId="41" borderId="21" xfId="59" applyFont="1" applyFill="1" applyBorder="1" applyAlignment="1">
      <alignment horizontal="left" vertical="center" wrapText="1"/>
    </xf>
    <xf numFmtId="0" fontId="43" fillId="41" borderId="10" xfId="59" applyFont="1" applyFill="1" applyBorder="1" applyAlignment="1">
      <alignment horizontal="left" vertical="center" wrapText="1"/>
    </xf>
    <xf numFmtId="0" fontId="44" fillId="0" borderId="10" xfId="59" applyNumberFormat="1" applyFont="1" applyFill="1" applyBorder="1" applyAlignment="1">
      <alignment horizontal="left" vertical="center" wrapText="1"/>
    </xf>
    <xf numFmtId="0" fontId="44" fillId="0" borderId="10" xfId="59" applyFont="1" applyFill="1" applyBorder="1" applyAlignment="1">
      <alignment horizontal="left" vertical="center" wrapText="1"/>
    </xf>
    <xf numFmtId="0" fontId="41" fillId="0" borderId="10" xfId="59" applyFont="1" applyFill="1" applyBorder="1" applyAlignment="1">
      <alignment horizontal="left" vertical="center" wrapText="1"/>
    </xf>
    <xf numFmtId="0" fontId="44" fillId="0" borderId="10" xfId="59" applyFont="1" applyBorder="1" applyAlignment="1">
      <alignment horizontal="left" vertical="center" wrapText="1" readingOrder="1"/>
    </xf>
    <xf numFmtId="0" fontId="44" fillId="0" borderId="10" xfId="59" applyFont="1" applyBorder="1" applyAlignment="1">
      <alignment vertical="center" wrapText="1" readingOrder="1"/>
    </xf>
    <xf numFmtId="0" fontId="44" fillId="0" borderId="10" xfId="59" applyFont="1" applyBorder="1" applyAlignment="1">
      <alignment wrapText="1" readingOrder="1"/>
    </xf>
    <xf numFmtId="0" fontId="44" fillId="0" borderId="10" xfId="59" applyNumberFormat="1" applyFont="1" applyBorder="1" applyAlignment="1">
      <alignment vertical="center" wrapText="1" readingOrder="1"/>
    </xf>
    <xf numFmtId="2" fontId="5" fillId="0" borderId="0" xfId="60" applyNumberFormat="1" applyFont="1"/>
    <xf numFmtId="0" fontId="63" fillId="64" borderId="80" xfId="0" applyFont="1" applyFill="1" applyBorder="1"/>
    <xf numFmtId="0" fontId="63" fillId="64" borderId="81" xfId="0" applyFont="1" applyFill="1" applyBorder="1"/>
    <xf numFmtId="0" fontId="63" fillId="64" borderId="82" xfId="0" applyFont="1" applyFill="1" applyBorder="1"/>
    <xf numFmtId="0" fontId="64" fillId="65" borderId="83" xfId="0" applyFont="1" applyFill="1" applyBorder="1"/>
    <xf numFmtId="0" fontId="64" fillId="65" borderId="84" xfId="0" applyFont="1" applyFill="1" applyBorder="1"/>
    <xf numFmtId="3" fontId="64" fillId="65" borderId="84" xfId="0" applyNumberFormat="1" applyFont="1" applyFill="1" applyBorder="1"/>
    <xf numFmtId="177" fontId="64" fillId="65" borderId="85" xfId="0" applyNumberFormat="1" applyFont="1" applyFill="1" applyBorder="1"/>
    <xf numFmtId="0" fontId="64" fillId="0" borderId="80" xfId="0" applyFont="1" applyBorder="1"/>
    <xf numFmtId="0" fontId="64" fillId="0" borderId="81" xfId="0" applyFont="1" applyBorder="1"/>
    <xf numFmtId="3" fontId="64" fillId="0" borderId="81" xfId="0" applyNumberFormat="1" applyFont="1" applyBorder="1"/>
    <xf numFmtId="177" fontId="64" fillId="0" borderId="82" xfId="0" applyNumberFormat="1" applyFont="1" applyBorder="1"/>
    <xf numFmtId="0" fontId="64" fillId="0" borderId="83" xfId="0" applyFont="1" applyBorder="1"/>
    <xf numFmtId="0" fontId="64" fillId="0" borderId="84" xfId="0" applyFont="1" applyBorder="1"/>
    <xf numFmtId="3" fontId="64" fillId="0" borderId="84" xfId="0" applyNumberFormat="1" applyFont="1" applyBorder="1"/>
    <xf numFmtId="177" fontId="64" fillId="0" borderId="85" xfId="0" applyNumberFormat="1" applyFont="1" applyBorder="1"/>
    <xf numFmtId="0" fontId="64" fillId="65" borderId="80" xfId="0" applyFont="1" applyFill="1" applyBorder="1"/>
    <xf numFmtId="0" fontId="64" fillId="65" borderId="81" xfId="0" applyFont="1" applyFill="1" applyBorder="1"/>
    <xf numFmtId="3" fontId="64" fillId="65" borderId="81" xfId="0" applyNumberFormat="1" applyFont="1" applyFill="1" applyBorder="1"/>
    <xf numFmtId="177" fontId="64" fillId="65" borderId="82" xfId="0" applyNumberFormat="1" applyFont="1" applyFill="1" applyBorder="1"/>
    <xf numFmtId="177" fontId="0" fillId="0" borderId="0" xfId="0" applyNumberFormat="1">
      <alignment readingOrder="1"/>
    </xf>
    <xf numFmtId="0" fontId="46" fillId="66" borderId="22" xfId="0" applyFont="1" applyFill="1" applyBorder="1" applyAlignment="1">
      <alignment horizontal="left" readingOrder="1"/>
    </xf>
    <xf numFmtId="0" fontId="46" fillId="66" borderId="13" xfId="0" applyFont="1" applyFill="1" applyBorder="1" applyAlignment="1">
      <alignment horizontal="center" wrapText="1" readingOrder="1"/>
    </xf>
    <xf numFmtId="0" fontId="9" fillId="22" borderId="10" xfId="0" applyFont="1" applyFill="1" applyBorder="1" applyAlignment="1">
      <alignment horizontal="center" wrapText="1" readingOrder="1"/>
    </xf>
    <xf numFmtId="0" fontId="9" fillId="22" borderId="13" xfId="0" applyFont="1" applyFill="1" applyBorder="1" applyAlignment="1">
      <alignment horizontal="center" wrapText="1" readingOrder="1"/>
    </xf>
    <xf numFmtId="165" fontId="9" fillId="22" borderId="13" xfId="0" applyNumberFormat="1" applyFont="1" applyFill="1" applyBorder="1" applyAlignment="1">
      <alignment horizontal="center" wrapText="1" readingOrder="1"/>
    </xf>
    <xf numFmtId="165" fontId="9" fillId="22" borderId="34" xfId="0" applyNumberFormat="1" applyFont="1" applyFill="1" applyBorder="1" applyAlignment="1">
      <alignment horizontal="centerContinuous" wrapText="1" readingOrder="1"/>
    </xf>
    <xf numFmtId="165" fontId="9" fillId="22" borderId="35" xfId="0" applyNumberFormat="1" applyFont="1" applyFill="1" applyBorder="1" applyAlignment="1">
      <alignment horizontal="centerContinuous" wrapText="1" readingOrder="1"/>
    </xf>
    <xf numFmtId="165" fontId="9" fillId="22" borderId="32" xfId="0" applyNumberFormat="1" applyFont="1" applyFill="1" applyBorder="1" applyAlignment="1">
      <alignment horizontal="centerContinuous" wrapText="1" readingOrder="1"/>
    </xf>
    <xf numFmtId="0" fontId="9" fillId="23" borderId="10" xfId="0" applyFont="1" applyFill="1" applyBorder="1" applyAlignment="1">
      <alignment horizontal="center" wrapText="1" readingOrder="1"/>
    </xf>
    <xf numFmtId="0" fontId="9" fillId="23" borderId="13" xfId="0" applyFont="1" applyFill="1" applyBorder="1" applyAlignment="1">
      <alignment horizontal="center" wrapText="1" readingOrder="1"/>
    </xf>
    <xf numFmtId="165" fontId="9" fillId="23" borderId="13" xfId="0" applyNumberFormat="1" applyFont="1" applyFill="1" applyBorder="1" applyAlignment="1">
      <alignment horizontal="center" wrapText="1" readingOrder="1"/>
    </xf>
    <xf numFmtId="165" fontId="8" fillId="0" borderId="0" xfId="0" applyNumberFormat="1" applyFont="1">
      <alignment readingOrder="1"/>
    </xf>
    <xf numFmtId="0" fontId="46" fillId="67" borderId="22" xfId="0" applyFont="1" applyFill="1" applyBorder="1" applyAlignment="1">
      <alignment horizontal="left" wrapText="1" readingOrder="1"/>
    </xf>
    <xf numFmtId="0" fontId="46" fillId="67" borderId="13" xfId="0" applyFont="1" applyFill="1" applyBorder="1" applyAlignment="1">
      <alignment horizontal="center" wrapText="1" readingOrder="1"/>
    </xf>
    <xf numFmtId="0" fontId="46" fillId="66" borderId="4" xfId="0" applyFont="1" applyFill="1" applyBorder="1" applyAlignment="1">
      <alignment horizontal="center" wrapText="1" readingOrder="1"/>
    </xf>
    <xf numFmtId="0" fontId="0" fillId="0" borderId="24" xfId="0" applyBorder="1">
      <alignment readingOrder="1"/>
    </xf>
    <xf numFmtId="0" fontId="0" fillId="0" borderId="25" xfId="0" applyBorder="1">
      <alignment readingOrder="1"/>
    </xf>
    <xf numFmtId="0" fontId="0" fillId="0" borderId="26" xfId="0" applyBorder="1">
      <alignment readingOrder="1"/>
    </xf>
    <xf numFmtId="0" fontId="0" fillId="0" borderId="27" xfId="0" applyBorder="1">
      <alignment readingOrder="1"/>
    </xf>
    <xf numFmtId="0" fontId="0" fillId="0" borderId="28" xfId="0" applyBorder="1">
      <alignment readingOrder="1"/>
    </xf>
    <xf numFmtId="0" fontId="0" fillId="0" borderId="29" xfId="0" applyBorder="1">
      <alignment readingOrder="1"/>
    </xf>
    <xf numFmtId="0" fontId="0" fillId="0" borderId="30" xfId="0" applyBorder="1">
      <alignment readingOrder="1"/>
    </xf>
    <xf numFmtId="0" fontId="0" fillId="0" borderId="86" xfId="0" applyBorder="1">
      <alignment readingOrder="1"/>
    </xf>
    <xf numFmtId="0" fontId="9" fillId="68" borderId="31" xfId="0" applyFont="1" applyFill="1" applyBorder="1" applyAlignment="1">
      <alignment horizontal="centerContinuous" wrapText="1" readingOrder="1"/>
    </xf>
    <xf numFmtId="0" fontId="9" fillId="68" borderId="32" xfId="0" applyFont="1" applyFill="1" applyBorder="1" applyAlignment="1">
      <alignment horizontal="centerContinuous" wrapText="1" readingOrder="1"/>
    </xf>
    <xf numFmtId="165" fontId="9" fillId="68" borderId="31" xfId="0" applyNumberFormat="1" applyFont="1" applyFill="1" applyBorder="1" applyAlignment="1">
      <alignment horizontal="centerContinuous" wrapText="1" readingOrder="1"/>
    </xf>
    <xf numFmtId="165" fontId="9" fillId="68" borderId="33" xfId="0" applyNumberFormat="1" applyFont="1" applyFill="1" applyBorder="1" applyAlignment="1">
      <alignment horizontal="centerContinuous" wrapText="1" readingOrder="1"/>
    </xf>
    <xf numFmtId="165" fontId="9" fillId="68" borderId="32" xfId="0" applyNumberFormat="1" applyFont="1" applyFill="1" applyBorder="1" applyAlignment="1">
      <alignment horizontal="centerContinuous" wrapText="1" readingOrder="1"/>
    </xf>
    <xf numFmtId="165" fontId="9" fillId="68" borderId="4" xfId="0" applyNumberFormat="1" applyFont="1" applyFill="1" applyBorder="1" applyAlignment="1">
      <alignment horizontal="center" wrapText="1" readingOrder="1"/>
    </xf>
    <xf numFmtId="182" fontId="9" fillId="23" borderId="13" xfId="0" applyNumberFormat="1" applyFont="1" applyFill="1" applyBorder="1" applyAlignment="1">
      <alignment horizontal="center" wrapText="1" readingOrder="1"/>
    </xf>
    <xf numFmtId="165" fontId="65" fillId="0" borderId="0" xfId="0" applyNumberFormat="1" applyFont="1">
      <alignment readingOrder="1"/>
    </xf>
    <xf numFmtId="0" fontId="9" fillId="22" borderId="31" xfId="0" applyFont="1" applyFill="1" applyBorder="1" applyAlignment="1">
      <alignment horizontal="centerContinuous" wrapText="1" readingOrder="1"/>
    </xf>
    <xf numFmtId="0" fontId="9" fillId="22" borderId="33" xfId="0" applyFont="1" applyFill="1" applyBorder="1" applyAlignment="1">
      <alignment horizontal="centerContinuous" wrapText="1" readingOrder="1"/>
    </xf>
    <xf numFmtId="165" fontId="9" fillId="22" borderId="33" xfId="0" applyNumberFormat="1" applyFont="1" applyFill="1" applyBorder="1" applyAlignment="1">
      <alignment horizontal="centerContinuous" wrapText="1" readingOrder="1"/>
    </xf>
    <xf numFmtId="165" fontId="9" fillId="22" borderId="4" xfId="0" applyNumberFormat="1" applyFont="1" applyFill="1" applyBorder="1" applyAlignment="1">
      <alignment horizontal="center" wrapText="1" readingOrder="1"/>
    </xf>
    <xf numFmtId="165" fontId="9" fillId="22" borderId="31" xfId="0" applyNumberFormat="1" applyFont="1" applyFill="1" applyBorder="1" applyAlignment="1">
      <alignment horizontal="centerContinuous" wrapText="1" readingOrder="1"/>
    </xf>
    <xf numFmtId="165" fontId="12" fillId="0" borderId="0" xfId="0" applyNumberFormat="1" applyFont="1">
      <alignment readingOrder="1"/>
    </xf>
    <xf numFmtId="183" fontId="12" fillId="0" borderId="0" xfId="0" applyNumberFormat="1" applyFont="1">
      <alignment readingOrder="1"/>
    </xf>
    <xf numFmtId="183" fontId="0" fillId="0" borderId="0" xfId="0" applyNumberFormat="1">
      <alignment readingOrder="1"/>
    </xf>
    <xf numFmtId="183" fontId="65" fillId="0" borderId="0" xfId="0" applyNumberFormat="1" applyFont="1">
      <alignment readingOrder="1"/>
    </xf>
    <xf numFmtId="2" fontId="0" fillId="0" borderId="0" xfId="0" applyNumberFormat="1"/>
    <xf numFmtId="0" fontId="40" fillId="41" borderId="10" xfId="413" applyFont="1" applyFill="1" applyBorder="1"/>
    <xf numFmtId="0" fontId="40" fillId="41" borderId="11" xfId="413" applyFont="1" applyFill="1" applyBorder="1"/>
    <xf numFmtId="0" fontId="40" fillId="41" borderId="19" xfId="413" applyFont="1" applyFill="1" applyBorder="1"/>
    <xf numFmtId="0" fontId="40" fillId="41" borderId="23" xfId="413" applyFont="1" applyFill="1" applyBorder="1"/>
    <xf numFmtId="165" fontId="9" fillId="22" borderId="34" xfId="413" applyNumberFormat="1" applyFont="1" applyFill="1" applyBorder="1" applyAlignment="1">
      <alignment horizontal="centerContinuous" wrapText="1" readingOrder="1"/>
    </xf>
    <xf numFmtId="165" fontId="9" fillId="22" borderId="35" xfId="413" applyNumberFormat="1" applyFont="1" applyFill="1" applyBorder="1" applyAlignment="1">
      <alignment horizontal="centerContinuous" wrapText="1" readingOrder="1"/>
    </xf>
    <xf numFmtId="165" fontId="9" fillId="22" borderId="32" xfId="413" applyNumberFormat="1" applyFont="1" applyFill="1" applyBorder="1" applyAlignment="1">
      <alignment horizontal="centerContinuous" wrapText="1" readingOrder="1"/>
    </xf>
    <xf numFmtId="165" fontId="9" fillId="22" borderId="13" xfId="413" applyNumberFormat="1" applyFont="1" applyFill="1" applyBorder="1" applyAlignment="1">
      <alignment horizontal="center" wrapText="1" readingOrder="1"/>
    </xf>
    <xf numFmtId="0" fontId="3" fillId="0" borderId="0" xfId="413"/>
    <xf numFmtId="0" fontId="40" fillId="41" borderId="16" xfId="413" applyFont="1" applyFill="1" applyBorder="1"/>
    <xf numFmtId="0" fontId="40" fillId="41" borderId="14" xfId="413" applyFont="1" applyFill="1" applyBorder="1"/>
    <xf numFmtId="0" fontId="40" fillId="41" borderId="18" xfId="413" applyFont="1" applyFill="1" applyBorder="1"/>
    <xf numFmtId="165" fontId="9" fillId="23" borderId="13" xfId="413" applyNumberFormat="1" applyFont="1" applyFill="1" applyBorder="1" applyAlignment="1">
      <alignment horizontal="center" wrapText="1" readingOrder="1"/>
    </xf>
    <xf numFmtId="0" fontId="40" fillId="40" borderId="10" xfId="413" applyFont="1" applyFill="1" applyBorder="1"/>
    <xf numFmtId="2" fontId="3" fillId="69" borderId="0" xfId="413" applyNumberFormat="1" applyFill="1" applyAlignment="1">
      <alignment horizontal="center" readingOrder="1"/>
    </xf>
    <xf numFmtId="1" fontId="3" fillId="69" borderId="0" xfId="413" applyNumberFormat="1" applyFill="1" applyAlignment="1">
      <alignment horizontal="center" readingOrder="1"/>
    </xf>
    <xf numFmtId="0" fontId="3" fillId="0" borderId="0" xfId="413">
      <alignment readingOrder="1"/>
    </xf>
    <xf numFmtId="165" fontId="3" fillId="0" borderId="0" xfId="413" applyNumberFormat="1">
      <alignment readingOrder="1"/>
    </xf>
    <xf numFmtId="43" fontId="0" fillId="69" borderId="0" xfId="414" applyFont="1" applyFill="1" applyAlignment="1">
      <alignment horizontal="center" readingOrder="1"/>
    </xf>
    <xf numFmtId="1" fontId="3" fillId="0" borderId="0" xfId="413" applyNumberFormat="1"/>
    <xf numFmtId="0" fontId="0" fillId="41" borderId="0" xfId="0" applyFill="1">
      <alignment readingOrder="1"/>
    </xf>
    <xf numFmtId="0" fontId="0" fillId="41" borderId="0" xfId="0" applyFill="1" applyAlignment="1">
      <alignment vertical="center" wrapText="1" readingOrder="1"/>
    </xf>
    <xf numFmtId="165" fontId="0" fillId="39" borderId="0" xfId="0" applyNumberFormat="1" applyFill="1">
      <alignment readingOrder="1"/>
    </xf>
    <xf numFmtId="0" fontId="0" fillId="38" borderId="0" xfId="0" applyFill="1" applyAlignment="1">
      <alignment horizontal="left" vertical="center" readingOrder="1"/>
    </xf>
    <xf numFmtId="0" fontId="9" fillId="37" borderId="22" xfId="45" applyFont="1" applyFill="1" applyBorder="1" applyAlignment="1">
      <alignment horizontal="center"/>
    </xf>
    <xf numFmtId="0" fontId="9" fillId="37" borderId="4" xfId="45" applyFont="1" applyFill="1" applyBorder="1" applyAlignment="1">
      <alignment horizontal="center"/>
    </xf>
    <xf numFmtId="0" fontId="9" fillId="37" borderId="13" xfId="45" applyFont="1" applyFill="1" applyBorder="1" applyAlignment="1">
      <alignment horizontal="center"/>
    </xf>
    <xf numFmtId="0" fontId="6" fillId="34" borderId="10" xfId="48" applyFont="1" applyFill="1" applyBorder="1" applyAlignment="1">
      <alignment horizontal="center"/>
    </xf>
    <xf numFmtId="0" fontId="12" fillId="0" borderId="10" xfId="48" applyFont="1" applyBorder="1" applyAlignment="1">
      <alignment horizontal="center"/>
    </xf>
    <xf numFmtId="0" fontId="3" fillId="0" borderId="70" xfId="44" applyBorder="1"/>
    <xf numFmtId="0" fontId="3" fillId="0" borderId="71" xfId="44" applyBorder="1"/>
    <xf numFmtId="0" fontId="3" fillId="0" borderId="72" xfId="44" applyBorder="1"/>
    <xf numFmtId="0" fontId="3" fillId="32" borderId="31" xfId="44" applyFill="1" applyBorder="1" applyAlignment="1">
      <alignment horizontal="center" wrapText="1"/>
    </xf>
    <xf numFmtId="0" fontId="3" fillId="32" borderId="33" xfId="44" applyFill="1" applyBorder="1" applyAlignment="1">
      <alignment horizontal="center" wrapText="1"/>
    </xf>
    <xf numFmtId="0" fontId="3" fillId="32" borderId="32" xfId="44" applyFill="1" applyBorder="1" applyAlignment="1">
      <alignment horizontal="center" wrapText="1"/>
    </xf>
    <xf numFmtId="0" fontId="3" fillId="31" borderId="37" xfId="44" applyFill="1" applyBorder="1" applyAlignment="1">
      <alignment horizontal="center" wrapText="1"/>
    </xf>
    <xf numFmtId="0" fontId="3" fillId="31" borderId="38" xfId="44" applyFill="1" applyBorder="1" applyAlignment="1">
      <alignment horizontal="center" wrapText="1"/>
    </xf>
    <xf numFmtId="0" fontId="3" fillId="31" borderId="39" xfId="44" applyFill="1" applyBorder="1" applyAlignment="1">
      <alignment horizontal="center" wrapText="1"/>
    </xf>
    <xf numFmtId="0" fontId="3" fillId="31" borderId="60" xfId="44" applyFill="1" applyBorder="1" applyAlignment="1">
      <alignment horizontal="center" wrapText="1"/>
    </xf>
    <xf numFmtId="0" fontId="3" fillId="31" borderId="10" xfId="44" applyFill="1" applyBorder="1" applyAlignment="1">
      <alignment horizontal="center" wrapText="1"/>
    </xf>
    <xf numFmtId="0" fontId="3" fillId="31" borderId="64" xfId="44" applyFill="1" applyBorder="1" applyAlignment="1">
      <alignment horizontal="center" wrapText="1"/>
    </xf>
    <xf numFmtId="0" fontId="3" fillId="31" borderId="31" xfId="44" applyFill="1" applyBorder="1" applyAlignment="1">
      <alignment horizontal="center" wrapText="1"/>
    </xf>
    <xf numFmtId="0" fontId="3" fillId="31" borderId="33" xfId="44" applyFill="1" applyBorder="1" applyAlignment="1">
      <alignment horizontal="center" wrapText="1"/>
    </xf>
    <xf numFmtId="0" fontId="3" fillId="31" borderId="32" xfId="44" applyFill="1" applyBorder="1" applyAlignment="1">
      <alignment horizontal="center" wrapText="1"/>
    </xf>
    <xf numFmtId="0" fontId="3" fillId="33" borderId="4" xfId="44" applyFill="1" applyBorder="1"/>
    <xf numFmtId="0" fontId="3" fillId="33" borderId="13" xfId="44" applyFill="1" applyBorder="1"/>
    <xf numFmtId="0" fontId="3" fillId="31" borderId="56" xfId="44" applyFill="1" applyBorder="1" applyAlignment="1">
      <alignment horizontal="center" wrapText="1"/>
    </xf>
    <xf numFmtId="0" fontId="3" fillId="33" borderId="22" xfId="44" applyFill="1" applyBorder="1"/>
    <xf numFmtId="0" fontId="3" fillId="31" borderId="52" xfId="44" applyFill="1" applyBorder="1" applyAlignment="1">
      <alignment horizontal="center" wrapText="1"/>
    </xf>
    <xf numFmtId="0" fontId="3" fillId="31" borderId="19" xfId="44" applyFill="1" applyBorder="1" applyAlignment="1">
      <alignment horizontal="center" wrapText="1"/>
    </xf>
    <xf numFmtId="0" fontId="3" fillId="31" borderId="23" xfId="44" applyFill="1" applyBorder="1" applyAlignment="1">
      <alignment horizontal="center" wrapText="1"/>
    </xf>
    <xf numFmtId="0" fontId="3" fillId="34" borderId="25" xfId="44" applyFill="1" applyBorder="1" applyAlignment="1">
      <alignment horizontal="center" wrapText="1"/>
    </xf>
    <xf numFmtId="0" fontId="3" fillId="34" borderId="26" xfId="44" applyFill="1" applyBorder="1" applyAlignment="1">
      <alignment horizontal="center" wrapText="1"/>
    </xf>
    <xf numFmtId="0" fontId="3" fillId="31" borderId="22" xfId="44" applyFill="1" applyBorder="1" applyAlignment="1">
      <alignment horizontal="center" wrapText="1"/>
    </xf>
    <xf numFmtId="0" fontId="3" fillId="0" borderId="10" xfId="44" applyBorder="1" applyAlignment="1">
      <alignment wrapText="1"/>
    </xf>
    <xf numFmtId="0" fontId="3" fillId="0" borderId="47" xfId="44" applyBorder="1" applyAlignment="1">
      <alignment horizontal="center"/>
    </xf>
    <xf numFmtId="0" fontId="3" fillId="0" borderId="55" xfId="44" applyBorder="1" applyAlignment="1">
      <alignment horizontal="center"/>
    </xf>
    <xf numFmtId="0" fontId="3" fillId="0" borderId="56" xfId="44" applyBorder="1" applyAlignment="1">
      <alignment horizontal="center"/>
    </xf>
    <xf numFmtId="0" fontId="3" fillId="28" borderId="47" xfId="44" applyFill="1" applyBorder="1" applyAlignment="1">
      <alignment horizontal="center"/>
    </xf>
    <xf numFmtId="0" fontId="3" fillId="28" borderId="55" xfId="44" applyFill="1" applyBorder="1" applyAlignment="1">
      <alignment horizontal="center"/>
    </xf>
    <xf numFmtId="0" fontId="3" fillId="28" borderId="73" xfId="44" applyFill="1" applyBorder="1" applyAlignment="1">
      <alignment horizontal="center"/>
    </xf>
    <xf numFmtId="0" fontId="3" fillId="28" borderId="24" xfId="44" applyFill="1" applyBorder="1" applyAlignment="1">
      <alignment horizontal="center"/>
    </xf>
    <xf numFmtId="0" fontId="3" fillId="28" borderId="25" xfId="44" applyFill="1" applyBorder="1" applyAlignment="1">
      <alignment horizontal="center"/>
    </xf>
    <xf numFmtId="0" fontId="3" fillId="28" borderId="26" xfId="44" applyFill="1" applyBorder="1" applyAlignment="1">
      <alignment horizontal="center"/>
    </xf>
    <xf numFmtId="0" fontId="3" fillId="0" borderId="31" xfId="44" applyBorder="1" applyAlignment="1">
      <alignment horizontal="center"/>
    </xf>
    <xf numFmtId="0" fontId="3" fillId="0" borderId="33" xfId="44" applyBorder="1" applyAlignment="1">
      <alignment horizontal="center"/>
    </xf>
    <xf numFmtId="0" fontId="3" fillId="0" borderId="32" xfId="44" applyBorder="1" applyAlignment="1">
      <alignment horizontal="center"/>
    </xf>
    <xf numFmtId="0" fontId="3" fillId="0" borderId="27" xfId="44" applyBorder="1" applyAlignment="1">
      <alignment horizontal="center"/>
    </xf>
    <xf numFmtId="0" fontId="3" fillId="0" borderId="0" xfId="44" applyBorder="1" applyAlignment="1">
      <alignment horizontal="center"/>
    </xf>
    <xf numFmtId="0" fontId="3" fillId="0" borderId="28" xfId="44" applyBorder="1" applyAlignment="1">
      <alignment horizontal="center"/>
    </xf>
    <xf numFmtId="0" fontId="3" fillId="0" borderId="47" xfId="44" applyFont="1" applyBorder="1" applyAlignment="1">
      <alignment horizontal="center"/>
    </xf>
    <xf numFmtId="0" fontId="12" fillId="30" borderId="38" xfId="44" applyFont="1" applyFill="1" applyBorder="1" applyAlignment="1">
      <alignment horizontal="center" wrapText="1"/>
    </xf>
    <xf numFmtId="0" fontId="12" fillId="30" borderId="39" xfId="44" applyFont="1" applyFill="1" applyBorder="1" applyAlignment="1">
      <alignment horizontal="center" wrapText="1"/>
    </xf>
    <xf numFmtId="0" fontId="3" fillId="0" borderId="10" xfId="44" applyFont="1" applyFill="1" applyBorder="1" applyAlignment="1">
      <alignment horizontal="center"/>
    </xf>
    <xf numFmtId="0" fontId="12" fillId="35" borderId="38" xfId="44" applyFont="1" applyFill="1" applyBorder="1" applyAlignment="1">
      <alignment horizontal="center" wrapText="1"/>
    </xf>
    <xf numFmtId="0" fontId="12" fillId="33" borderId="47" xfId="44" applyFont="1" applyFill="1" applyBorder="1" applyAlignment="1">
      <alignment horizontal="center" wrapText="1"/>
    </xf>
    <xf numFmtId="0" fontId="12" fillId="33" borderId="55" xfId="44" applyFont="1" applyFill="1" applyBorder="1" applyAlignment="1">
      <alignment horizontal="center" wrapText="1"/>
    </xf>
    <xf numFmtId="0" fontId="12" fillId="33" borderId="56" xfId="44" applyFont="1" applyFill="1" applyBorder="1" applyAlignment="1">
      <alignment horizontal="center" wrapText="1"/>
    </xf>
    <xf numFmtId="0" fontId="12" fillId="33" borderId="48" xfId="44" applyFont="1" applyFill="1" applyBorder="1" applyAlignment="1">
      <alignment horizontal="center" wrapText="1"/>
    </xf>
    <xf numFmtId="0" fontId="12" fillId="33" borderId="10" xfId="44" applyFont="1" applyFill="1" applyBorder="1" applyAlignment="1">
      <alignment horizontal="center" wrapText="1"/>
    </xf>
    <xf numFmtId="0" fontId="12" fillId="33" borderId="37" xfId="44" applyFont="1" applyFill="1" applyBorder="1" applyAlignment="1">
      <alignment horizontal="center" wrapText="1"/>
    </xf>
    <xf numFmtId="0" fontId="12" fillId="33" borderId="38" xfId="44" applyFont="1" applyFill="1" applyBorder="1" applyAlignment="1">
      <alignment horizontal="center" wrapText="1"/>
    </xf>
    <xf numFmtId="0" fontId="12" fillId="33" borderId="59" xfId="44" applyFont="1" applyFill="1" applyBorder="1" applyAlignment="1">
      <alignment horizontal="center" wrapText="1"/>
    </xf>
    <xf numFmtId="0" fontId="3" fillId="28" borderId="74" xfId="44" applyFill="1" applyBorder="1" applyAlignment="1">
      <alignment horizontal="center"/>
    </xf>
    <xf numFmtId="0" fontId="3" fillId="28" borderId="66" xfId="44" applyFill="1" applyBorder="1" applyAlignment="1">
      <alignment horizontal="center"/>
    </xf>
    <xf numFmtId="0" fontId="3" fillId="28" borderId="75" xfId="44" applyFill="1" applyBorder="1" applyAlignment="1">
      <alignment horizontal="center"/>
    </xf>
    <xf numFmtId="0" fontId="3" fillId="28" borderId="37" xfId="44" applyFill="1" applyBorder="1" applyAlignment="1">
      <alignment horizontal="center"/>
    </xf>
    <xf numFmtId="0" fontId="3" fillId="28" borderId="38" xfId="44" applyFill="1" applyBorder="1" applyAlignment="1">
      <alignment horizontal="center"/>
    </xf>
    <xf numFmtId="0" fontId="3" fillId="28" borderId="39" xfId="44" applyFill="1" applyBorder="1" applyAlignment="1">
      <alignment horizontal="center"/>
    </xf>
    <xf numFmtId="0" fontId="12" fillId="33" borderId="73" xfId="44" applyFont="1" applyFill="1" applyBorder="1" applyAlignment="1">
      <alignment horizontal="center" wrapText="1"/>
    </xf>
    <xf numFmtId="0" fontId="12" fillId="30" borderId="37" xfId="44" applyFont="1" applyFill="1" applyBorder="1" applyAlignment="1">
      <alignment horizontal="center" wrapText="1"/>
    </xf>
    <xf numFmtId="0" fontId="12" fillId="0" borderId="10" xfId="44" applyFont="1" applyBorder="1" applyAlignment="1">
      <alignment horizontal="center"/>
    </xf>
    <xf numFmtId="37" fontId="21" fillId="0" borderId="4" xfId="0" applyNumberFormat="1" applyFont="1" applyBorder="1" applyAlignment="1" applyProtection="1">
      <alignment horizontal="center"/>
    </xf>
    <xf numFmtId="37" fontId="21" fillId="0" borderId="13" xfId="0" applyNumberFormat="1" applyFont="1" applyBorder="1" applyAlignment="1" applyProtection="1">
      <alignment horizontal="center"/>
    </xf>
    <xf numFmtId="178" fontId="0" fillId="0" borderId="0" xfId="0" applyNumberFormat="1" applyBorder="1" applyAlignment="1" applyProtection="1">
      <alignment horizontal="center"/>
    </xf>
    <xf numFmtId="37" fontId="21" fillId="0" borderId="4" xfId="0" applyNumberFormat="1" applyFont="1" applyBorder="1" applyAlignment="1">
      <alignment horizontal="center"/>
    </xf>
    <xf numFmtId="37" fontId="21" fillId="0" borderId="13" xfId="0" applyNumberFormat="1" applyFont="1" applyBorder="1" applyAlignment="1">
      <alignment horizontal="center"/>
    </xf>
    <xf numFmtId="178" fontId="21" fillId="0" borderId="4" xfId="0" quotePrefix="1" applyNumberFormat="1" applyFont="1" applyBorder="1" applyAlignment="1" applyProtection="1">
      <alignment horizontal="center"/>
    </xf>
    <xf numFmtId="178" fontId="21" fillId="0" borderId="13" xfId="0" quotePrefix="1" applyNumberFormat="1" applyFont="1" applyBorder="1" applyAlignment="1" applyProtection="1">
      <alignment horizontal="center"/>
    </xf>
    <xf numFmtId="178" fontId="21" fillId="0" borderId="14" xfId="0" quotePrefix="1" applyNumberFormat="1" applyFont="1" applyBorder="1" applyAlignment="1" applyProtection="1">
      <alignment horizontal="center"/>
    </xf>
    <xf numFmtId="178" fontId="21" fillId="0" borderId="18" xfId="0" quotePrefix="1" applyNumberFormat="1" applyFont="1" applyBorder="1" applyAlignment="1" applyProtection="1">
      <alignment horizontal="center"/>
    </xf>
    <xf numFmtId="0" fontId="3" fillId="0" borderId="22" xfId="44" applyBorder="1" applyAlignment="1">
      <alignment horizontal="center"/>
    </xf>
    <xf numFmtId="0" fontId="3" fillId="0" borderId="13" xfId="44" applyBorder="1" applyAlignment="1">
      <alignment horizontal="center"/>
    </xf>
    <xf numFmtId="0" fontId="3" fillId="0" borderId="0" xfId="0" applyFont="1"/>
    <xf numFmtId="0" fontId="0" fillId="0" borderId="0" xfId="0" applyFont="1"/>
    <xf numFmtId="0" fontId="0" fillId="0" borderId="22" xfId="0" applyFont="1" applyBorder="1"/>
  </cellXfs>
  <cellStyles count="577">
    <cellStyle name="20% - Accent1" xfId="2" builtinId="30" customBuiltin="1"/>
    <cellStyle name="20% - Accent1 2" xfId="61"/>
    <cellStyle name="20% - Accent1 2 2" xfId="62"/>
    <cellStyle name="20% - Accent1 3" xfId="63"/>
    <cellStyle name="20% - Accent1 3 2" xfId="415"/>
    <cellStyle name="20% - Accent1 4" xfId="416"/>
    <cellStyle name="20% - Accent1 4 2" xfId="417"/>
    <cellStyle name="20% - Accent1 5" xfId="418"/>
    <cellStyle name="20% - Accent2" xfId="3" builtinId="34" customBuiltin="1"/>
    <cellStyle name="20% - Accent2 2" xfId="64"/>
    <cellStyle name="20% - Accent2 2 2" xfId="419"/>
    <cellStyle name="20% - Accent2 3" xfId="65"/>
    <cellStyle name="20% - Accent2 3 2" xfId="420"/>
    <cellStyle name="20% - Accent2 4" xfId="421"/>
    <cellStyle name="20% - Accent2 4 2" xfId="422"/>
    <cellStyle name="20% - Accent2 5" xfId="423"/>
    <cellStyle name="20% - Accent3" xfId="4" builtinId="38" customBuiltin="1"/>
    <cellStyle name="20% - Accent3 2" xfId="66"/>
    <cellStyle name="20% - Accent3 2 2" xfId="67"/>
    <cellStyle name="20% - Accent3 3" xfId="68"/>
    <cellStyle name="20% - Accent3 3 2" xfId="424"/>
    <cellStyle name="20% - Accent3 4" xfId="425"/>
    <cellStyle name="20% - Accent3 4 2" xfId="426"/>
    <cellStyle name="20% - Accent3 5" xfId="427"/>
    <cellStyle name="20% - Accent4" xfId="5" builtinId="42" customBuiltin="1"/>
    <cellStyle name="20% - Accent4 2" xfId="69"/>
    <cellStyle name="20% - Accent4 2 2" xfId="70"/>
    <cellStyle name="20% - Accent4 3" xfId="71"/>
    <cellStyle name="20% - Accent4 3 2" xfId="428"/>
    <cellStyle name="20% - Accent4 4" xfId="429"/>
    <cellStyle name="20% - Accent4 4 2" xfId="430"/>
    <cellStyle name="20% - Accent4 5" xfId="431"/>
    <cellStyle name="20% - Accent5" xfId="6" builtinId="46" customBuiltin="1"/>
    <cellStyle name="20% - Accent5 2" xfId="72"/>
    <cellStyle name="20% - Accent5 2 2" xfId="432"/>
    <cellStyle name="20% - Accent5 3" xfId="73"/>
    <cellStyle name="20% - Accent5 3 2" xfId="433"/>
    <cellStyle name="20% - Accent5 4" xfId="434"/>
    <cellStyle name="20% - Accent5 4 2" xfId="435"/>
    <cellStyle name="20% - Accent5 5" xfId="436"/>
    <cellStyle name="20% - Accent6" xfId="7" builtinId="50" customBuiltin="1"/>
    <cellStyle name="20% - Accent6 2" xfId="74"/>
    <cellStyle name="20% - Accent6 2 2" xfId="437"/>
    <cellStyle name="20% - Accent6 3" xfId="75"/>
    <cellStyle name="20% - Accent6 3 2" xfId="438"/>
    <cellStyle name="20% - Accent6 4" xfId="439"/>
    <cellStyle name="20% - Accent6 4 2" xfId="440"/>
    <cellStyle name="20% - Accent6 5" xfId="441"/>
    <cellStyle name="40% - Accent1" xfId="8" builtinId="31" customBuiltin="1"/>
    <cellStyle name="40% - Accent1 2" xfId="76"/>
    <cellStyle name="40% - Accent1 2 2" xfId="77"/>
    <cellStyle name="40% - Accent1 3" xfId="78"/>
    <cellStyle name="40% - Accent1 3 2" xfId="442"/>
    <cellStyle name="40% - Accent1 4" xfId="443"/>
    <cellStyle name="40% - Accent1 4 2" xfId="444"/>
    <cellStyle name="40% - Accent1 5" xfId="445"/>
    <cellStyle name="40% - Accent2" xfId="9" builtinId="35" customBuiltin="1"/>
    <cellStyle name="40% - Accent2 2" xfId="79"/>
    <cellStyle name="40% - Accent2 2 2" xfId="80"/>
    <cellStyle name="40% - Accent2 3" xfId="81"/>
    <cellStyle name="40% - Accent2 3 2" xfId="446"/>
    <cellStyle name="40% - Accent2 4" xfId="447"/>
    <cellStyle name="40% - Accent2 4 2" xfId="448"/>
    <cellStyle name="40% - Accent2 5" xfId="449"/>
    <cellStyle name="40% - Accent3" xfId="10" builtinId="39" customBuiltin="1"/>
    <cellStyle name="40% - Accent3 2" xfId="82"/>
    <cellStyle name="40% - Accent3 2 2" xfId="83"/>
    <cellStyle name="40% - Accent3 3" xfId="84"/>
    <cellStyle name="40% - Accent3 3 2" xfId="450"/>
    <cellStyle name="40% - Accent3 4" xfId="451"/>
    <cellStyle name="40% - Accent3 4 2" xfId="452"/>
    <cellStyle name="40% - Accent3 5" xfId="453"/>
    <cellStyle name="40% - Accent4" xfId="11" builtinId="43" customBuiltin="1"/>
    <cellStyle name="40% - Accent4 2" xfId="85"/>
    <cellStyle name="40% - Accent4 2 2" xfId="86"/>
    <cellStyle name="40% - Accent4 3" xfId="87"/>
    <cellStyle name="40% - Accent4 3 2" xfId="454"/>
    <cellStyle name="40% - Accent4 4" xfId="455"/>
    <cellStyle name="40% - Accent4 4 2" xfId="456"/>
    <cellStyle name="40% - Accent4 5" xfId="457"/>
    <cellStyle name="40% - Accent5" xfId="12" builtinId="47" customBuiltin="1"/>
    <cellStyle name="40% - Accent5 2" xfId="88"/>
    <cellStyle name="40% - Accent5 2 2" xfId="458"/>
    <cellStyle name="40% - Accent5 3" xfId="89"/>
    <cellStyle name="40% - Accent5 3 2" xfId="459"/>
    <cellStyle name="40% - Accent5 4" xfId="460"/>
    <cellStyle name="40% - Accent5 4 2" xfId="461"/>
    <cellStyle name="40% - Accent5 5" xfId="462"/>
    <cellStyle name="40% - Accent6" xfId="13" builtinId="51" customBuiltin="1"/>
    <cellStyle name="40% - Accent6 2" xfId="90"/>
    <cellStyle name="40% - Accent6 2 2" xfId="91"/>
    <cellStyle name="40% - Accent6 3" xfId="92"/>
    <cellStyle name="40% - Accent6 3 2" xfId="463"/>
    <cellStyle name="40% - Accent6 4" xfId="464"/>
    <cellStyle name="40% - Accent6 4 2" xfId="465"/>
    <cellStyle name="40% - Accent6 5" xfId="466"/>
    <cellStyle name="60% - Accent1" xfId="14" builtinId="32" customBuiltin="1"/>
    <cellStyle name="60% - Accent1 2" xfId="93"/>
    <cellStyle name="60% - Accent1 2 2" xfId="94"/>
    <cellStyle name="60% - Accent1 3" xfId="95"/>
    <cellStyle name="60% - Accent2" xfId="15" builtinId="36" customBuiltin="1"/>
    <cellStyle name="60% - Accent2 2" xfId="96"/>
    <cellStyle name="60% - Accent2 2 2" xfId="97"/>
    <cellStyle name="60% - Accent2 3" xfId="98"/>
    <cellStyle name="60% - Accent3" xfId="16" builtinId="40" customBuiltin="1"/>
    <cellStyle name="60% - Accent3 2" xfId="99"/>
    <cellStyle name="60% - Accent3 2 2" xfId="100"/>
    <cellStyle name="60% - Accent3 3" xfId="101"/>
    <cellStyle name="60% - Accent4" xfId="17" builtinId="44" customBuiltin="1"/>
    <cellStyle name="60% - Accent4 2" xfId="102"/>
    <cellStyle name="60% - Accent4 2 2" xfId="103"/>
    <cellStyle name="60% - Accent4 3" xfId="104"/>
    <cellStyle name="60% - Accent5" xfId="18" builtinId="48" customBuiltin="1"/>
    <cellStyle name="60% - Accent5 2" xfId="105"/>
    <cellStyle name="60% - Accent5 3" xfId="106"/>
    <cellStyle name="60% - Accent6" xfId="19" builtinId="52" customBuiltin="1"/>
    <cellStyle name="60% - Accent6 2" xfId="107"/>
    <cellStyle name="60% - Accent6 2 2" xfId="108"/>
    <cellStyle name="60% - Accent6 3" xfId="109"/>
    <cellStyle name="Accent1" xfId="20" builtinId="29" customBuiltin="1"/>
    <cellStyle name="Accent1 - 20%" xfId="110"/>
    <cellStyle name="Accent1 - 40%" xfId="111"/>
    <cellStyle name="Accent1 - 60%" xfId="112"/>
    <cellStyle name="Accent1 2" xfId="113"/>
    <cellStyle name="Accent1 2 2" xfId="114"/>
    <cellStyle name="Accent1 3" xfId="115"/>
    <cellStyle name="Accent2" xfId="21" builtinId="33" customBuiltin="1"/>
    <cellStyle name="Accent2 - 20%" xfId="116"/>
    <cellStyle name="Accent2 - 40%" xfId="117"/>
    <cellStyle name="Accent2 - 60%" xfId="118"/>
    <cellStyle name="Accent2 2" xfId="119"/>
    <cellStyle name="Accent2 3" xfId="120"/>
    <cellStyle name="Accent3" xfId="22" builtinId="37" customBuiltin="1"/>
    <cellStyle name="Accent3 - 20%" xfId="121"/>
    <cellStyle name="Accent3 - 40%" xfId="122"/>
    <cellStyle name="Accent3 - 60%" xfId="123"/>
    <cellStyle name="Accent3 2" xfId="124"/>
    <cellStyle name="Accent3 2 2" xfId="125"/>
    <cellStyle name="Accent3 3" xfId="126"/>
    <cellStyle name="Accent4" xfId="23" builtinId="41" customBuiltin="1"/>
    <cellStyle name="Accent4 - 20%" xfId="127"/>
    <cellStyle name="Accent4 - 40%" xfId="128"/>
    <cellStyle name="Accent4 - 60%" xfId="129"/>
    <cellStyle name="Accent4 2" xfId="130"/>
    <cellStyle name="Accent4 2 2" xfId="131"/>
    <cellStyle name="Accent4 3" xfId="132"/>
    <cellStyle name="Accent5" xfId="24" builtinId="45" customBuiltin="1"/>
    <cellStyle name="Accent5 - 20%" xfId="133"/>
    <cellStyle name="Accent5 - 40%" xfId="134"/>
    <cellStyle name="Accent5 - 60%" xfId="135"/>
    <cellStyle name="Accent5 2" xfId="136"/>
    <cellStyle name="Accent5 3" xfId="137"/>
    <cellStyle name="Accent6" xfId="25" builtinId="49" customBuiltin="1"/>
    <cellStyle name="Accent6 - 20%" xfId="138"/>
    <cellStyle name="Accent6 - 40%" xfId="139"/>
    <cellStyle name="Accent6 - 60%" xfId="140"/>
    <cellStyle name="Accent6 2" xfId="141"/>
    <cellStyle name="Accent6 3" xfId="142"/>
    <cellStyle name="Bad" xfId="26" builtinId="27" customBuiltin="1"/>
    <cellStyle name="Bad 2" xfId="143"/>
    <cellStyle name="Bad 2 2" xfId="144"/>
    <cellStyle name="Bad 3" xfId="145"/>
    <cellStyle name="Calculation" xfId="27" builtinId="22" customBuiltin="1"/>
    <cellStyle name="Calculation 2" xfId="146"/>
    <cellStyle name="Calculation 2 2" xfId="147"/>
    <cellStyle name="Calculation 3" xfId="148"/>
    <cellStyle name="Check Cell" xfId="28" builtinId="23" customBuiltin="1"/>
    <cellStyle name="Check Cell 2" xfId="149"/>
    <cellStyle name="Check Cell 3" xfId="150"/>
    <cellStyle name="Comma" xfId="29" builtinId="3"/>
    <cellStyle name="Comma [0] 2" xfId="151"/>
    <cellStyle name="Comma 10" xfId="414"/>
    <cellStyle name="Comma 11" xfId="467"/>
    <cellStyle name="Comma 2" xfId="152"/>
    <cellStyle name="Comma 2 2" xfId="153"/>
    <cellStyle name="Comma 2 2 2" xfId="154"/>
    <cellStyle name="Comma 2 2 3" xfId="155"/>
    <cellStyle name="Comma 2 2 3 2" xfId="468"/>
    <cellStyle name="Comma 2 2 4" xfId="469"/>
    <cellStyle name="Comma 2 2 4 2" xfId="470"/>
    <cellStyle name="Comma 2 2 5" xfId="471"/>
    <cellStyle name="Comma 2 2 5 2" xfId="472"/>
    <cellStyle name="Comma 2 2 6" xfId="473"/>
    <cellStyle name="Comma 2 2 6 2" xfId="474"/>
    <cellStyle name="Comma 2 2 7" xfId="475"/>
    <cellStyle name="Comma 2 2 8" xfId="476"/>
    <cellStyle name="Comma 2 3" xfId="156"/>
    <cellStyle name="Comma 2 3 2" xfId="477"/>
    <cellStyle name="Comma 2 4" xfId="157"/>
    <cellStyle name="Comma 2 5" xfId="158"/>
    <cellStyle name="Comma 3" xfId="159"/>
    <cellStyle name="Comma 3 10" xfId="478"/>
    <cellStyle name="Comma 3 2" xfId="160"/>
    <cellStyle name="Comma 3 2 2" xfId="161"/>
    <cellStyle name="Comma 3 2 3" xfId="162"/>
    <cellStyle name="Comma 3 3" xfId="163"/>
    <cellStyle name="Comma 3 3 2" xfId="164"/>
    <cellStyle name="Comma 3 3 3" xfId="165"/>
    <cellStyle name="Comma 3 3 4" xfId="166"/>
    <cellStyle name="Comma 3 4" xfId="167"/>
    <cellStyle name="Comma 3 4 2" xfId="479"/>
    <cellStyle name="Comma 3 5" xfId="480"/>
    <cellStyle name="Comma 3 5 2" xfId="481"/>
    <cellStyle name="Comma 3 6" xfId="482"/>
    <cellStyle name="Comma 3 6 2" xfId="483"/>
    <cellStyle name="Comma 3 7" xfId="484"/>
    <cellStyle name="Comma 3 8" xfId="485"/>
    <cellStyle name="Comma 3 9" xfId="486"/>
    <cellStyle name="Comma 4" xfId="168"/>
    <cellStyle name="Comma 4 2" xfId="169"/>
    <cellStyle name="Comma 4 2 2" xfId="170"/>
    <cellStyle name="Comma 4 3" xfId="171"/>
    <cellStyle name="Comma 5" xfId="172"/>
    <cellStyle name="Comma 5 2" xfId="173"/>
    <cellStyle name="Comma 5 3" xfId="174"/>
    <cellStyle name="Comma 6" xfId="175"/>
    <cellStyle name="Comma 7" xfId="176"/>
    <cellStyle name="Comma 8" xfId="177"/>
    <cellStyle name="Comma 9" xfId="487"/>
    <cellStyle name="Currency" xfId="30" builtinId="4"/>
    <cellStyle name="Currency 2" xfId="178"/>
    <cellStyle name="Currency 2 2" xfId="179"/>
    <cellStyle name="Currency 2 2 2" xfId="180"/>
    <cellStyle name="Currency 2 2 3" xfId="181"/>
    <cellStyle name="Currency 2 3" xfId="182"/>
    <cellStyle name="Currency 2 4" xfId="183"/>
    <cellStyle name="Currency 2 5" xfId="184"/>
    <cellStyle name="Currency 3" xfId="185"/>
    <cellStyle name="Currency 3 2" xfId="186"/>
    <cellStyle name="Currency 3 2 2" xfId="187"/>
    <cellStyle name="Currency 3 2 3" xfId="188"/>
    <cellStyle name="Currency 3 3" xfId="189"/>
    <cellStyle name="Currency 3 4" xfId="190"/>
    <cellStyle name="Currency 3 5" xfId="488"/>
    <cellStyle name="Currency 4" xfId="191"/>
    <cellStyle name="Currency 4 2" xfId="489"/>
    <cellStyle name="Currency 4 3" xfId="490"/>
    <cellStyle name="Currency 5" xfId="192"/>
    <cellStyle name="Currency 5 2" xfId="193"/>
    <cellStyle name="Currency 5 2 2" xfId="194"/>
    <cellStyle name="Currency 5 3" xfId="195"/>
    <cellStyle name="Currency 6" xfId="196"/>
    <cellStyle name="Currency 6 2" xfId="197"/>
    <cellStyle name="Currency 7" xfId="198"/>
    <cellStyle name="Currency 7 2" xfId="199"/>
    <cellStyle name="Currency 8" xfId="200"/>
    <cellStyle name="Data Field" xfId="31"/>
    <cellStyle name="Data Field 2" xfId="201"/>
    <cellStyle name="Data Field 2 2" xfId="202"/>
    <cellStyle name="Data Field 2 3" xfId="203"/>
    <cellStyle name="Data Field 3" xfId="204"/>
    <cellStyle name="Data Field 4" xfId="205"/>
    <cellStyle name="Data Field 5" xfId="491"/>
    <cellStyle name="Data Name" xfId="32"/>
    <cellStyle name="Data Name 2" xfId="206"/>
    <cellStyle name="Data Name 2 2" xfId="492"/>
    <cellStyle name="Data Name 3" xfId="493"/>
    <cellStyle name="Data Name 4" xfId="494"/>
    <cellStyle name="Date/Time" xfId="33"/>
    <cellStyle name="Emphasis 1" xfId="207"/>
    <cellStyle name="Emphasis 2" xfId="208"/>
    <cellStyle name="Emphasis 3" xfId="209"/>
    <cellStyle name="Explanatory Text" xfId="34" builtinId="53" customBuiltin="1"/>
    <cellStyle name="Explanatory Text 2" xfId="210"/>
    <cellStyle name="Explanatory Text 3" xfId="211"/>
    <cellStyle name="Good" xfId="35" builtinId="26" customBuiltin="1"/>
    <cellStyle name="Good 2" xfId="212"/>
    <cellStyle name="Good 3" xfId="213"/>
    <cellStyle name="Heading" xfId="36"/>
    <cellStyle name="Heading 1" xfId="37" builtinId="16" customBuiltin="1"/>
    <cellStyle name="Heading 1 2" xfId="214"/>
    <cellStyle name="Heading 1 2 2" xfId="215"/>
    <cellStyle name="Heading 1 3" xfId="216"/>
    <cellStyle name="Heading 2" xfId="38" builtinId="17" customBuiltin="1"/>
    <cellStyle name="Heading 2 2" xfId="217"/>
    <cellStyle name="Heading 2 3" xfId="218"/>
    <cellStyle name="Heading 3" xfId="39" builtinId="18" customBuiltin="1"/>
    <cellStyle name="Heading 3 2" xfId="219"/>
    <cellStyle name="Heading 3 2 2" xfId="220"/>
    <cellStyle name="Heading 3 3" xfId="221"/>
    <cellStyle name="Heading 4" xfId="40" builtinId="19" customBuiltin="1"/>
    <cellStyle name="Heading 4 2" xfId="222"/>
    <cellStyle name="Heading 4 2 2" xfId="223"/>
    <cellStyle name="Heading 4 3" xfId="224"/>
    <cellStyle name="Hyperlink 2" xfId="225"/>
    <cellStyle name="Hyperlink 2 2" xfId="226"/>
    <cellStyle name="Hyperlink 2 2 2" xfId="227"/>
    <cellStyle name="Hyperlink 2 3" xfId="495"/>
    <cellStyle name="Hyperlink 2_ResWXMF_FY10v2_0" xfId="228"/>
    <cellStyle name="Hyperlink 3" xfId="229"/>
    <cellStyle name="Hyperlink 3 2" xfId="230"/>
    <cellStyle name="Hyperlink 3 2 2" xfId="231"/>
    <cellStyle name="Hyperlink 4" xfId="232"/>
    <cellStyle name="Hyperlink 5" xfId="233"/>
    <cellStyle name="Hyperlink 6" xfId="234"/>
    <cellStyle name="Hyperlink 7" xfId="235"/>
    <cellStyle name="Hyperlink 8" xfId="236"/>
    <cellStyle name="Input" xfId="41" builtinId="20" customBuiltin="1"/>
    <cellStyle name="Input 2" xfId="237"/>
    <cellStyle name="Input 3" xfId="238"/>
    <cellStyle name="Linked Cell" xfId="42" builtinId="24" customBuiltin="1"/>
    <cellStyle name="Linked Cell 2" xfId="239"/>
    <cellStyle name="Linked Cell 3" xfId="240"/>
    <cellStyle name="Neutral" xfId="43" builtinId="28" customBuiltin="1"/>
    <cellStyle name="Neutral 2" xfId="241"/>
    <cellStyle name="Neutral 3" xfId="242"/>
    <cellStyle name="Normal" xfId="0" builtinId="0"/>
    <cellStyle name="Normal 10" xfId="243"/>
    <cellStyle name="Normal 10 2" xfId="244"/>
    <cellStyle name="Normal 11" xfId="245"/>
    <cellStyle name="Normal 11 2" xfId="496"/>
    <cellStyle name="Normal 12" xfId="246"/>
    <cellStyle name="Normal 12 2" xfId="497"/>
    <cellStyle name="Normal 13" xfId="247"/>
    <cellStyle name="Normal 13 2" xfId="248"/>
    <cellStyle name="Normal 13 3" xfId="249"/>
    <cellStyle name="Normal 13 4" xfId="413"/>
    <cellStyle name="Normal 14" xfId="250"/>
    <cellStyle name="Normal 14 2" xfId="251"/>
    <cellStyle name="Normal 14 2 2" xfId="252"/>
    <cellStyle name="Normal 14 3" xfId="253"/>
    <cellStyle name="Normal 14 3 2" xfId="254"/>
    <cellStyle name="Normal 14 4" xfId="255"/>
    <cellStyle name="Normal 14 5" xfId="498"/>
    <cellStyle name="Normal 15" xfId="256"/>
    <cellStyle name="Normal 15 2" xfId="257"/>
    <cellStyle name="Normal 15 2 2" xfId="258"/>
    <cellStyle name="Normal 15 3" xfId="259"/>
    <cellStyle name="Normal 15 4" xfId="260"/>
    <cellStyle name="Normal 15 5" xfId="499"/>
    <cellStyle name="Normal 16" xfId="261"/>
    <cellStyle name="Normal 16 2" xfId="262"/>
    <cellStyle name="Normal 16 3" xfId="263"/>
    <cellStyle name="Normal 16 4" xfId="500"/>
    <cellStyle name="Normal 17" xfId="264"/>
    <cellStyle name="Normal 17 2" xfId="265"/>
    <cellStyle name="Normal 18" xfId="266"/>
    <cellStyle name="Normal 19" xfId="267"/>
    <cellStyle name="Normal 2" xfId="268"/>
    <cellStyle name="Normal 2 10" xfId="501"/>
    <cellStyle name="Normal 2 11" xfId="502"/>
    <cellStyle name="Normal 2 12" xfId="503"/>
    <cellStyle name="Normal 2 2" xfId="58"/>
    <cellStyle name="Normal 2 2 2" xfId="269"/>
    <cellStyle name="Normal 2 2 2 2" xfId="270"/>
    <cellStyle name="Normal 2 2 2 3" xfId="271"/>
    <cellStyle name="Normal 2 2 3" xfId="272"/>
    <cellStyle name="Normal 2 2 3 2" xfId="273"/>
    <cellStyle name="Normal 2 2 3 3" xfId="274"/>
    <cellStyle name="Normal 2 2 4" xfId="275"/>
    <cellStyle name="Normal 2 2 4 2" xfId="504"/>
    <cellStyle name="Normal 2 2 5" xfId="505"/>
    <cellStyle name="Normal 2 2 6" xfId="506"/>
    <cellStyle name="Normal 2 3" xfId="276"/>
    <cellStyle name="Normal 2 3 2" xfId="277"/>
    <cellStyle name="Normal 2 3 2 2" xfId="278"/>
    <cellStyle name="Normal 2 3 2 2 2" xfId="279"/>
    <cellStyle name="Normal 2 3 2 3" xfId="507"/>
    <cellStyle name="Normal 2 3 3" xfId="280"/>
    <cellStyle name="Normal 2 3 3 2" xfId="281"/>
    <cellStyle name="Normal 2 3 4" xfId="508"/>
    <cellStyle name="Normal 2 4" xfId="282"/>
    <cellStyle name="Normal 2 4 2" xfId="283"/>
    <cellStyle name="Normal 2 4 2 2" xfId="284"/>
    <cellStyle name="Normal 2 4 2 3" xfId="285"/>
    <cellStyle name="Normal 2 4 2 4" xfId="286"/>
    <cellStyle name="Normal 2 4 3" xfId="287"/>
    <cellStyle name="Normal 2 5" xfId="288"/>
    <cellStyle name="Normal 2 5 2" xfId="509"/>
    <cellStyle name="Normal 2 6" xfId="289"/>
    <cellStyle name="Normal 2 6 2" xfId="290"/>
    <cellStyle name="Normal 2 6 2 2" xfId="291"/>
    <cellStyle name="Normal 2 6 2 3" xfId="292"/>
    <cellStyle name="Normal 2 6 3" xfId="293"/>
    <cellStyle name="Normal 2 6 3 2" xfId="294"/>
    <cellStyle name="Normal 2 6 4" xfId="295"/>
    <cellStyle name="Normal 2 6 4 2" xfId="296"/>
    <cellStyle name="Normal 2 6 5" xfId="297"/>
    <cellStyle name="Normal 2 6 6" xfId="298"/>
    <cellStyle name="Normal 2 7" xfId="299"/>
    <cellStyle name="Normal 2 7 2" xfId="300"/>
    <cellStyle name="Normal 2 7 2 2" xfId="301"/>
    <cellStyle name="Normal 2 7 3" xfId="302"/>
    <cellStyle name="Normal 2 8" xfId="303"/>
    <cellStyle name="Normal 2 8 2" xfId="510"/>
    <cellStyle name="Normal 2 9" xfId="304"/>
    <cellStyle name="Normal 2 9 2" xfId="511"/>
    <cellStyle name="Normal 2_EStarLighting_ExistingFY10v1_5_CWv1" xfId="305"/>
    <cellStyle name="Normal 20" xfId="306"/>
    <cellStyle name="Normal 21" xfId="307"/>
    <cellStyle name="Normal 22" xfId="308"/>
    <cellStyle name="Normal 23" xfId="309"/>
    <cellStyle name="Normal 24" xfId="310"/>
    <cellStyle name="Normal 25" xfId="311"/>
    <cellStyle name="Normal 26" xfId="312"/>
    <cellStyle name="Normal 27" xfId="313"/>
    <cellStyle name="Normal 28" xfId="314"/>
    <cellStyle name="Normal 29" xfId="315"/>
    <cellStyle name="Normal 3" xfId="316"/>
    <cellStyle name="Normal 3 2" xfId="317"/>
    <cellStyle name="Normal 3 2 2" xfId="318"/>
    <cellStyle name="Normal 3 2 3" xfId="319"/>
    <cellStyle name="Normal 3 3" xfId="320"/>
    <cellStyle name="Normal 3 3 2" xfId="321"/>
    <cellStyle name="Normal 3 3 2 2" xfId="322"/>
    <cellStyle name="Normal 3 4" xfId="323"/>
    <cellStyle name="Normal 3 4 2" xfId="512"/>
    <cellStyle name="Normal 3 5" xfId="513"/>
    <cellStyle name="Normal 3 66" xfId="324"/>
    <cellStyle name="Normal 30" xfId="325"/>
    <cellStyle name="Normal 31" xfId="326"/>
    <cellStyle name="Normal 32" xfId="327"/>
    <cellStyle name="Normal 33" xfId="328"/>
    <cellStyle name="Normal 34" xfId="329"/>
    <cellStyle name="Normal 35" xfId="330"/>
    <cellStyle name="Normal 36" xfId="331"/>
    <cellStyle name="Normal 37" xfId="332"/>
    <cellStyle name="Normal 38" xfId="333"/>
    <cellStyle name="Normal 39" xfId="334"/>
    <cellStyle name="Normal 4" xfId="335"/>
    <cellStyle name="Normal 4 2" xfId="336"/>
    <cellStyle name="Normal 4 2 2" xfId="514"/>
    <cellStyle name="Normal 4 3" xfId="337"/>
    <cellStyle name="Normal 4 3 2" xfId="338"/>
    <cellStyle name="Normal 4 3 2 2" xfId="339"/>
    <cellStyle name="Normal 4 3 2 3" xfId="340"/>
    <cellStyle name="Normal 4 3 3" xfId="341"/>
    <cellStyle name="Normal 4 3 4" xfId="515"/>
    <cellStyle name="Normal 4 4" xfId="342"/>
    <cellStyle name="Normal 4 4 2" xfId="343"/>
    <cellStyle name="Normal 4 4 3" xfId="344"/>
    <cellStyle name="Normal 4 5" xfId="345"/>
    <cellStyle name="Normal 4 5 2" xfId="346"/>
    <cellStyle name="Normal 4 5 3" xfId="347"/>
    <cellStyle name="Normal 4 6" xfId="348"/>
    <cellStyle name="Normal 4 7" xfId="349"/>
    <cellStyle name="Normal 4 8" xfId="516"/>
    <cellStyle name="Normal 40" xfId="350"/>
    <cellStyle name="Normal 41" xfId="351"/>
    <cellStyle name="Normal 42" xfId="352"/>
    <cellStyle name="Normal 43" xfId="353"/>
    <cellStyle name="Normal 44" xfId="354"/>
    <cellStyle name="Normal 45" xfId="355"/>
    <cellStyle name="Normal 46" xfId="356"/>
    <cellStyle name="Normal 47" xfId="357"/>
    <cellStyle name="Normal 48" xfId="358"/>
    <cellStyle name="Normal 48 2" xfId="359"/>
    <cellStyle name="Normal 49" xfId="360"/>
    <cellStyle name="Normal 5" xfId="361"/>
    <cellStyle name="Normal 5 2" xfId="362"/>
    <cellStyle name="Normal 5 2 2" xfId="517"/>
    <cellStyle name="Normal 5 3" xfId="518"/>
    <cellStyle name="Normal 5 3 2" xfId="519"/>
    <cellStyle name="Normal 5 4" xfId="520"/>
    <cellStyle name="Normal 5 4 2" xfId="521"/>
    <cellStyle name="Normal 5 5" xfId="522"/>
    <cellStyle name="Normal 5 5 2" xfId="523"/>
    <cellStyle name="Normal 5 6" xfId="524"/>
    <cellStyle name="Normal 5 6 2" xfId="525"/>
    <cellStyle name="Normal 5 7" xfId="526"/>
    <cellStyle name="Normal 50" xfId="363"/>
    <cellStyle name="Normal 51" xfId="527"/>
    <cellStyle name="Normal 6" xfId="364"/>
    <cellStyle name="Normal 6 2" xfId="528"/>
    <cellStyle name="Normal 6 3" xfId="529"/>
    <cellStyle name="Normal 6 4" xfId="530"/>
    <cellStyle name="Normal 6 5" xfId="531"/>
    <cellStyle name="Normal 7" xfId="365"/>
    <cellStyle name="Normal 7 2" xfId="366"/>
    <cellStyle name="Normal 7 2 2" xfId="532"/>
    <cellStyle name="Normal 7 3" xfId="533"/>
    <cellStyle name="Normal 8" xfId="367"/>
    <cellStyle name="Normal 8 2" xfId="368"/>
    <cellStyle name="Normal 8 2 2" xfId="534"/>
    <cellStyle name="Normal 8 3" xfId="535"/>
    <cellStyle name="Normal 9" xfId="369"/>
    <cellStyle name="Normal 9 2" xfId="370"/>
    <cellStyle name="Normal 9 3" xfId="371"/>
    <cellStyle name="Normal_DairySupplyCurve_6thPlan" xfId="44"/>
    <cellStyle name="Normal_MTDUCT" xfId="45"/>
    <cellStyle name="Normal_MTRESAPPLPOT" xfId="60"/>
    <cellStyle name="Normal_PC-LPDPackage-6P-D14" xfId="59"/>
    <cellStyle name="Normal_ProCost Template" xfId="46"/>
    <cellStyle name="Normal_ResWXMHsqftFY07v1_5" xfId="47"/>
    <cellStyle name="Normal_ResWXSFsqfFY07v1_5" xfId="48"/>
    <cellStyle name="Normal_T_Energy Use and Savings" xfId="49"/>
    <cellStyle name="Note" xfId="50" builtinId="10" customBuiltin="1"/>
    <cellStyle name="Note 2" xfId="372"/>
    <cellStyle name="Note 2 2" xfId="373"/>
    <cellStyle name="Note 2 2 2" xfId="536"/>
    <cellStyle name="Note 2 3" xfId="537"/>
    <cellStyle name="Note 2 3 2" xfId="538"/>
    <cellStyle name="Note 2 4" xfId="539"/>
    <cellStyle name="Note 2 4 2" xfId="540"/>
    <cellStyle name="Note 2 5" xfId="541"/>
    <cellStyle name="Note 3" xfId="374"/>
    <cellStyle name="Output" xfId="51" builtinId="21" customBuiltin="1"/>
    <cellStyle name="Output 2" xfId="375"/>
    <cellStyle name="Output 2 2" xfId="376"/>
    <cellStyle name="Output 3" xfId="377"/>
    <cellStyle name="Percent" xfId="52" builtinId="5"/>
    <cellStyle name="Percent 2" xfId="378"/>
    <cellStyle name="Percent 2 10" xfId="542"/>
    <cellStyle name="Percent 2 2" xfId="379"/>
    <cellStyle name="Percent 2 2 2" xfId="380"/>
    <cellStyle name="Percent 2 2 2 2" xfId="381"/>
    <cellStyle name="Percent 2 2 2 2 2" xfId="543"/>
    <cellStyle name="Percent 2 2 2 3" xfId="382"/>
    <cellStyle name="Percent 2 2 3" xfId="383"/>
    <cellStyle name="Percent 2 2 4" xfId="384"/>
    <cellStyle name="Percent 2 3" xfId="385"/>
    <cellStyle name="Percent 2 3 2" xfId="386"/>
    <cellStyle name="Percent 2 3 2 2" xfId="544"/>
    <cellStyle name="Percent 2 3 2 2 2" xfId="545"/>
    <cellStyle name="Percent 2 3 2 3" xfId="546"/>
    <cellStyle name="Percent 2 3 2 3 2" xfId="547"/>
    <cellStyle name="Percent 2 3 2 4" xfId="548"/>
    <cellStyle name="Percent 2 3 2 4 2" xfId="549"/>
    <cellStyle name="Percent 2 3 2 5" xfId="550"/>
    <cellStyle name="Percent 2 3 2 6" xfId="551"/>
    <cellStyle name="Percent 2 3 3" xfId="387"/>
    <cellStyle name="Percent 2 4" xfId="552"/>
    <cellStyle name="Percent 2 4 2" xfId="553"/>
    <cellStyle name="Percent 2 4 3" xfId="554"/>
    <cellStyle name="Percent 2 5" xfId="555"/>
    <cellStyle name="Percent 2 5 2" xfId="556"/>
    <cellStyle name="Percent 2 6" xfId="557"/>
    <cellStyle name="Percent 2 6 2" xfId="558"/>
    <cellStyle name="Percent 2 7" xfId="559"/>
    <cellStyle name="Percent 2 7 2" xfId="560"/>
    <cellStyle name="Percent 2 8" xfId="561"/>
    <cellStyle name="Percent 2 9" xfId="562"/>
    <cellStyle name="Percent 3" xfId="388"/>
    <cellStyle name="Percent 3 2" xfId="389"/>
    <cellStyle name="Percent 3 2 2" xfId="390"/>
    <cellStyle name="Percent 3 2 2 2" xfId="563"/>
    <cellStyle name="Percent 3 2 3" xfId="391"/>
    <cellStyle name="Percent 3 2 3 2" xfId="564"/>
    <cellStyle name="Percent 3 2 4" xfId="565"/>
    <cellStyle name="Percent 3 2 4 2" xfId="566"/>
    <cellStyle name="Percent 3 2 5" xfId="567"/>
    <cellStyle name="Percent 3 2 5 2" xfId="568"/>
    <cellStyle name="Percent 3 2 6" xfId="569"/>
    <cellStyle name="Percent 3 2 7" xfId="570"/>
    <cellStyle name="Percent 3 2 8" xfId="571"/>
    <cellStyle name="Percent 3 3" xfId="392"/>
    <cellStyle name="Percent 3 4" xfId="393"/>
    <cellStyle name="Percent 3 5" xfId="572"/>
    <cellStyle name="Percent 4" xfId="394"/>
    <cellStyle name="Percent 4 2" xfId="395"/>
    <cellStyle name="Percent 4 2 2" xfId="573"/>
    <cellStyle name="Percent 4 3" xfId="574"/>
    <cellStyle name="Percent 5" xfId="396"/>
    <cellStyle name="Percent 5 2" xfId="575"/>
    <cellStyle name="Percent 6" xfId="397"/>
    <cellStyle name="Percent 6 2" xfId="398"/>
    <cellStyle name="Percent 7" xfId="399"/>
    <cellStyle name="Percent 8" xfId="400"/>
    <cellStyle name="Percent 9" xfId="576"/>
    <cellStyle name="Sheet Title" xfId="401"/>
    <cellStyle name="Style 1" xfId="1"/>
    <cellStyle name="Style 1 2" xfId="402"/>
    <cellStyle name="Style 28" xfId="403"/>
    <cellStyle name="Title" xfId="53" builtinId="15" customBuiltin="1"/>
    <cellStyle name="Title 2" xfId="404"/>
    <cellStyle name="Title 2 2" xfId="405"/>
    <cellStyle name="Title 3" xfId="406"/>
    <cellStyle name="Total" xfId="54" builtinId="25" customBuiltin="1"/>
    <cellStyle name="Total 2" xfId="407"/>
    <cellStyle name="Total 2 2" xfId="408"/>
    <cellStyle name="Total 3" xfId="409"/>
    <cellStyle name="Warning Text" xfId="55" builtinId="11" customBuiltin="1"/>
    <cellStyle name="Warning Text 2" xfId="410"/>
    <cellStyle name="Warning Text 3" xfId="411"/>
    <cellStyle name="표준 2_WP-1 보고자료 (2009.06.03)" xfId="412"/>
    <cellStyle name="표준_ENERGY CONSUMP" xfId="56"/>
    <cellStyle name="常规_海外市场服务网站资料操作BOM" xfId="5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ACEAE"/>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g_Mast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Water Applied by Crop"/>
      <sheetName val="Water Use by Sprinklers"/>
      <sheetName val="Energy Expense"/>
      <sheetName val="Depth of Wells"/>
      <sheetName val="Water Use by All Methods"/>
      <sheetName val="Applic Acres"/>
      <sheetName val="Vars"/>
      <sheetName val="Labels"/>
      <sheetName val="Lookup"/>
      <sheetName val="UEC"/>
      <sheetName val="Tracking Status"/>
    </sheetNames>
    <sheetDataSet>
      <sheetData sheetId="0"/>
      <sheetData sheetId="1"/>
      <sheetData sheetId="2">
        <row r="10">
          <cell r="A10" t="str">
            <v>Irrigation</v>
          </cell>
          <cell r="B10" t="str">
            <v xml:space="preserve">Wheel/hand line systems: Replace worn nozzle with new flow controlling type nozzle for impact sprinklers </v>
          </cell>
        </row>
        <row r="11">
          <cell r="A11" t="str">
            <v>Irrigation</v>
          </cell>
          <cell r="B11" t="str">
            <v xml:space="preserve">Wheel/hand line systems: Replace worn nozzle with new nozzle </v>
          </cell>
        </row>
        <row r="12">
          <cell r="A12" t="str">
            <v>Irrigation</v>
          </cell>
          <cell r="B12" t="str">
            <v xml:space="preserve">Wheel/hand line systems: Rebuild or replace leaking impact sprinkler with new or rebuilt impact sprinkler </v>
          </cell>
        </row>
        <row r="13">
          <cell r="A13" t="str">
            <v>Irrigation</v>
          </cell>
          <cell r="B13" t="str">
            <v xml:space="preserve">Wheel/hand line systems: Replace leaking gasket with new gasket </v>
          </cell>
        </row>
        <row r="14">
          <cell r="A14" t="str">
            <v>Irrigation</v>
          </cell>
          <cell r="B14" t="str">
            <v xml:space="preserve">Wheel/hand line systems: Replace leaking drain with new drain </v>
          </cell>
        </row>
        <row r="15">
          <cell r="A15" t="str">
            <v>Irrigation</v>
          </cell>
          <cell r="B15" t="str">
            <v xml:space="preserve">Wheel/hand line systems: Cut and pipe press repair of leaking hand-lines, wheel-lines, and portable main-lines </v>
          </cell>
        </row>
        <row r="16">
          <cell r="A16" t="str">
            <v>Irrigation</v>
          </cell>
          <cell r="B16" t="str">
            <v xml:space="preserve">Thunderbird wheel line systems: Replace leaking hub with new hub </v>
          </cell>
        </row>
        <row r="17">
          <cell r="A17" t="str">
            <v>Irrigation</v>
          </cell>
          <cell r="B17" t="str">
            <v xml:space="preserve">Wheel line systems: Rebuild or replace leaking or malfunctioning leveler with new or rebuilt leveler. </v>
          </cell>
        </row>
        <row r="18">
          <cell r="A18" t="str">
            <v>Irrigation</v>
          </cell>
          <cell r="B18" t="str">
            <v xml:space="preserve">Center pivot/linear move systems: Install new sprinkler package on an existing system. </v>
          </cell>
        </row>
        <row r="19">
          <cell r="A19" t="str">
            <v>Irrigation</v>
          </cell>
          <cell r="B19" t="str">
            <v xml:space="preserve">Center pivot/linear move systems: New gooseneck elbows </v>
          </cell>
        </row>
        <row r="20">
          <cell r="A20" t="str">
            <v>Irrigation</v>
          </cell>
          <cell r="B20" t="str">
            <v xml:space="preserve">Center pivot/linear move systems: New drop tubes (3 feet minimum) </v>
          </cell>
        </row>
        <row r="21">
          <cell r="A21" t="str">
            <v>Irrigation</v>
          </cell>
          <cell r="B21" t="str">
            <v xml:space="preserve">Center pivot/linear move systems: Replace leaking pivot boot gasket with new pivot boot gasket </v>
          </cell>
        </row>
        <row r="22">
          <cell r="A22" t="str">
            <v>Irrigation</v>
          </cell>
          <cell r="B22" t="str">
            <v xml:space="preserve">Center pivot/linear move systems: Replace leaking tower gasket with new tower gasket </v>
          </cell>
        </row>
        <row r="23">
          <cell r="A23" t="str">
            <v>Irrigation</v>
          </cell>
          <cell r="B23" t="str">
            <v>Convert Medium Pressure Center Pivot to Low pressure system</v>
          </cell>
        </row>
        <row r="24">
          <cell r="A24" t="str">
            <v>Irrigation</v>
          </cell>
          <cell r="B24" t="str">
            <v>Convert High Pressure Center Pivot to Low pressure system</v>
          </cell>
        </row>
        <row r="25">
          <cell r="A25" t="str">
            <v>Irrigation</v>
          </cell>
          <cell r="B25" t="str">
            <v>Convert wheel line systems to low pressure systems on alfalfa acreage</v>
          </cell>
        </row>
        <row r="26">
          <cell r="A26" t="str">
            <v>Irrigation</v>
          </cell>
          <cell r="B26" t="str">
            <v>Convert hand line systems to low pressure systems on alfalfa acreage</v>
          </cell>
        </row>
        <row r="27">
          <cell r="A27" t="str">
            <v>Irrigation</v>
          </cell>
          <cell r="B27" t="str">
            <v>SIS</v>
          </cell>
        </row>
        <row r="28">
          <cell r="A28" t="str">
            <v>Irrigation</v>
          </cell>
          <cell r="B28" t="str">
            <v>LESA</v>
          </cell>
        </row>
        <row r="29">
          <cell r="A29" t="str">
            <v>Motors/Drives</v>
          </cell>
          <cell r="B29" t="str">
            <v>Motor Rewind</v>
          </cell>
        </row>
        <row r="30">
          <cell r="A30" t="str">
            <v>Motors/Drives</v>
          </cell>
          <cell r="B30" t="str">
            <v>Install VSD on Irrigation Pump</v>
          </cell>
        </row>
        <row r="31">
          <cell r="A31" t="str">
            <v>Motors/Drives</v>
          </cell>
          <cell r="B31" t="str">
            <v>VSD - Vacuum Pump</v>
          </cell>
        </row>
        <row r="32">
          <cell r="A32" t="str">
            <v>Refrigeration</v>
          </cell>
          <cell r="B32" t="str">
            <v>Plate Milk Pre-cooler</v>
          </cell>
        </row>
        <row r="33">
          <cell r="A33" t="str">
            <v>Lighting</v>
          </cell>
          <cell r="B33" t="str">
            <v>Energy Efficient Lighting</v>
          </cell>
        </row>
        <row r="34">
          <cell r="A34" t="str">
            <v>Motors/Drives</v>
          </cell>
          <cell r="B34" t="str">
            <v>VSD - Vacuum Pump</v>
          </cell>
        </row>
        <row r="35">
          <cell r="A35" t="str">
            <v>Refrigeration</v>
          </cell>
          <cell r="B35" t="str">
            <v>Heat Recovery Refrigeration</v>
          </cell>
        </row>
        <row r="36">
          <cell r="A36" t="str">
            <v>Refrigeration</v>
          </cell>
          <cell r="B36" t="str">
            <v>Plate Milk Pre-Cooler</v>
          </cell>
        </row>
        <row r="37">
          <cell r="A37" t="str">
            <v>Lighting</v>
          </cell>
          <cell r="B37" t="str">
            <v>Energy Efficient Lighting</v>
          </cell>
        </row>
        <row r="38">
          <cell r="A38" t="str">
            <v>Lighting</v>
          </cell>
          <cell r="B38" t="str">
            <v>35-44W LED fixture &amp; NEW Photocell_Replacing_175W MH fixture</v>
          </cell>
        </row>
        <row r="39">
          <cell r="A39" t="str">
            <v>Lighting</v>
          </cell>
          <cell r="B39" t="str">
            <v>35-44W LED fixture &amp; NEW Photocell_Replacing_150W HID fixture</v>
          </cell>
        </row>
        <row r="40">
          <cell r="A40" t="str">
            <v>Lighting</v>
          </cell>
          <cell r="B40" t="str">
            <v>35-44W LED fixture &amp; NEW Photocell_Replacing_100W HID fixture</v>
          </cell>
        </row>
        <row r="41">
          <cell r="A41" t="str">
            <v>Lighting</v>
          </cell>
          <cell r="B41" t="str">
            <v>35-44W LED fixture &amp; NEW Photocell_Replacing_175W MV fixture</v>
          </cell>
        </row>
        <row r="42">
          <cell r="A42" t="str">
            <v>Lighting</v>
          </cell>
          <cell r="B42" t="str">
            <v>35-44W LED fixture &amp; NEW Photocell_Replacing_200W HID fixture</v>
          </cell>
        </row>
      </sheetData>
      <sheetData sheetId="3">
        <row r="4">
          <cell r="H4">
            <v>2035</v>
          </cell>
        </row>
      </sheetData>
      <sheetData sheetId="4">
        <row r="8">
          <cell r="B8" t="str">
            <v>Measure Index Name</v>
          </cell>
          <cell r="C8" t="str">
            <v>Idaho</v>
          </cell>
          <cell r="D8" t="str">
            <v>Montana</v>
          </cell>
          <cell r="E8" t="str">
            <v>Oregon</v>
          </cell>
          <cell r="F8" t="str">
            <v>Washington</v>
          </cell>
        </row>
        <row r="9">
          <cell r="B9" t="str">
            <v xml:space="preserve">Wheel/hand line systems: Replace worn nozzle with new flow controlling type nozzle for impact sprinklers </v>
          </cell>
          <cell r="C9">
            <v>0.30000000000000004</v>
          </cell>
          <cell r="D9">
            <v>0.30000000000000004</v>
          </cell>
          <cell r="E9">
            <v>0.30000000000000004</v>
          </cell>
          <cell r="F9">
            <v>0.30000000000000004</v>
          </cell>
        </row>
        <row r="10">
          <cell r="B10" t="str">
            <v xml:space="preserve">Wheel/hand line systems: Replace worn nozzle with new nozzle </v>
          </cell>
          <cell r="C10">
            <v>0.30000000000000004</v>
          </cell>
          <cell r="D10">
            <v>0.30000000000000004</v>
          </cell>
          <cell r="E10">
            <v>0.30000000000000004</v>
          </cell>
          <cell r="F10">
            <v>0.30000000000000004</v>
          </cell>
        </row>
        <row r="11">
          <cell r="B11" t="str">
            <v xml:space="preserve">Wheel/hand line systems: Rebuild or replace leaking impact sprinkler with new or rebuilt impact sprinkler </v>
          </cell>
          <cell r="C11">
            <v>0.30000000000000004</v>
          </cell>
          <cell r="D11">
            <v>0.30000000000000004</v>
          </cell>
          <cell r="E11">
            <v>0.30000000000000004</v>
          </cell>
          <cell r="F11">
            <v>0.30000000000000004</v>
          </cell>
        </row>
        <row r="12">
          <cell r="B12" t="str">
            <v xml:space="preserve">Wheel/hand line systems: Replace leaking gasket with new gasket </v>
          </cell>
          <cell r="C12">
            <v>0.30000000000000004</v>
          </cell>
          <cell r="D12">
            <v>0.30000000000000004</v>
          </cell>
          <cell r="E12">
            <v>0.30000000000000004</v>
          </cell>
          <cell r="F12">
            <v>0.30000000000000004</v>
          </cell>
        </row>
        <row r="13">
          <cell r="B13" t="str">
            <v xml:space="preserve">Wheel/hand line systems: Replace leaking drain with new drain </v>
          </cell>
          <cell r="C13">
            <v>0.30000000000000004</v>
          </cell>
          <cell r="D13">
            <v>0.30000000000000004</v>
          </cell>
          <cell r="E13">
            <v>0.30000000000000004</v>
          </cell>
          <cell r="F13">
            <v>0.30000000000000004</v>
          </cell>
        </row>
        <row r="14">
          <cell r="B14" t="str">
            <v xml:space="preserve">Wheel/hand line systems: Cut and pipe press repair of leaking hand-lines, wheel-lines, and portable main-lines </v>
          </cell>
          <cell r="C14">
            <v>0.30000000000000004</v>
          </cell>
          <cell r="D14">
            <v>0.30000000000000004</v>
          </cell>
          <cell r="E14">
            <v>0.30000000000000004</v>
          </cell>
          <cell r="F14">
            <v>0.30000000000000004</v>
          </cell>
        </row>
        <row r="15">
          <cell r="B15" t="str">
            <v xml:space="preserve">Thunderbird wheel line systems: Replace leaking hub with new hub </v>
          </cell>
          <cell r="C15">
            <v>0.30000000000000004</v>
          </cell>
          <cell r="D15">
            <v>0.30000000000000004</v>
          </cell>
          <cell r="E15">
            <v>0.30000000000000004</v>
          </cell>
          <cell r="F15">
            <v>0.30000000000000004</v>
          </cell>
        </row>
        <row r="16">
          <cell r="B16" t="str">
            <v xml:space="preserve">Wheel line systems: Rebuild or replace leaking or malfunctioning leveler with new or rebuilt leveler. </v>
          </cell>
          <cell r="C16">
            <v>0.30000000000000004</v>
          </cell>
          <cell r="D16">
            <v>0.30000000000000004</v>
          </cell>
          <cell r="E16">
            <v>0.30000000000000004</v>
          </cell>
          <cell r="F16">
            <v>0.30000000000000004</v>
          </cell>
        </row>
        <row r="17">
          <cell r="B17" t="str">
            <v xml:space="preserve">Center pivot/linear move systems: Install new sprinkler package on an existing system. </v>
          </cell>
          <cell r="C17">
            <v>0.30000000000000004</v>
          </cell>
          <cell r="D17">
            <v>0.30000000000000004</v>
          </cell>
          <cell r="E17">
            <v>0.30000000000000004</v>
          </cell>
          <cell r="F17">
            <v>0.30000000000000004</v>
          </cell>
        </row>
        <row r="18">
          <cell r="B18" t="str">
            <v xml:space="preserve">Center pivot/linear move systems: New gooseneck elbows </v>
          </cell>
          <cell r="C18">
            <v>0.30000000000000004</v>
          </cell>
          <cell r="D18">
            <v>0.30000000000000004</v>
          </cell>
          <cell r="E18">
            <v>0.30000000000000004</v>
          </cell>
          <cell r="F18">
            <v>0.30000000000000004</v>
          </cell>
        </row>
        <row r="19">
          <cell r="B19" t="str">
            <v xml:space="preserve">Center pivot/linear move systems: New drop tubes (3 feet minimum) </v>
          </cell>
          <cell r="C19">
            <v>0.30000000000000004</v>
          </cell>
          <cell r="D19">
            <v>0.30000000000000004</v>
          </cell>
          <cell r="E19">
            <v>0.30000000000000004</v>
          </cell>
          <cell r="F19">
            <v>0.30000000000000004</v>
          </cell>
        </row>
        <row r="20">
          <cell r="B20" t="str">
            <v xml:space="preserve">Center pivot/linear move systems: Replace leaking pivot boot gasket with new pivot boot gasket </v>
          </cell>
          <cell r="C20">
            <v>0.30000000000000004</v>
          </cell>
          <cell r="D20">
            <v>0.30000000000000004</v>
          </cell>
          <cell r="E20">
            <v>0.30000000000000004</v>
          </cell>
          <cell r="F20">
            <v>0.30000000000000004</v>
          </cell>
        </row>
        <row r="21">
          <cell r="B21" t="str">
            <v xml:space="preserve">Center pivot/linear move systems: Replace leaking tower gasket with new tower gasket </v>
          </cell>
          <cell r="C21">
            <v>0.30000000000000004</v>
          </cell>
          <cell r="D21">
            <v>0.30000000000000004</v>
          </cell>
          <cell r="E21">
            <v>0.30000000000000004</v>
          </cell>
          <cell r="F21">
            <v>0.30000000000000004</v>
          </cell>
        </row>
        <row r="22">
          <cell r="B22" t="str">
            <v>Convert Medium Pressure Center Pivot to Low pressure system</v>
          </cell>
          <cell r="C22">
            <v>0.19500000000000003</v>
          </cell>
          <cell r="D22">
            <v>0.19500000000000003</v>
          </cell>
          <cell r="E22">
            <v>0.19500000000000003</v>
          </cell>
          <cell r="F22">
            <v>0.19500000000000003</v>
          </cell>
        </row>
        <row r="23">
          <cell r="B23" t="str">
            <v>Convert High Pressure Center Pivot to Low pressure system</v>
          </cell>
          <cell r="C23">
            <v>0.255</v>
          </cell>
          <cell r="D23">
            <v>0.255</v>
          </cell>
          <cell r="E23">
            <v>0.255</v>
          </cell>
          <cell r="F23">
            <v>0.255</v>
          </cell>
        </row>
        <row r="24">
          <cell r="B24" t="str">
            <v>Convert wheel line systems to low pressure systems on alfalfa acreage</v>
          </cell>
          <cell r="C24">
            <v>0.10500000000000001</v>
          </cell>
          <cell r="D24">
            <v>0.10500000000000001</v>
          </cell>
          <cell r="E24">
            <v>0.10500000000000001</v>
          </cell>
          <cell r="F24">
            <v>0.10500000000000001</v>
          </cell>
        </row>
        <row r="25">
          <cell r="B25" t="str">
            <v>Convert hand line systems to low pressure systems on alfalfa acreage</v>
          </cell>
          <cell r="C25">
            <v>0.10500000000000001</v>
          </cell>
          <cell r="D25">
            <v>0.10500000000000001</v>
          </cell>
          <cell r="E25">
            <v>0.10500000000000001</v>
          </cell>
          <cell r="F25">
            <v>0.10500000000000001</v>
          </cell>
        </row>
        <row r="26">
          <cell r="B26" t="str">
            <v>SIS</v>
          </cell>
          <cell r="C26">
            <v>0.85</v>
          </cell>
          <cell r="D26">
            <v>0.85</v>
          </cell>
          <cell r="E26">
            <v>0.85</v>
          </cell>
          <cell r="F26">
            <v>0.85</v>
          </cell>
        </row>
        <row r="27">
          <cell r="B27" t="str">
            <v>LESA</v>
          </cell>
          <cell r="C27">
            <v>0.29699999999999999</v>
          </cell>
          <cell r="D27">
            <v>0.29699999999999999</v>
          </cell>
          <cell r="E27">
            <v>0.29699999999999999</v>
          </cell>
          <cell r="F27">
            <v>0.29699999999999999</v>
          </cell>
        </row>
        <row r="28">
          <cell r="B28" t="str">
            <v>Motor Rewind</v>
          </cell>
          <cell r="C28">
            <v>0.51800000000000002</v>
          </cell>
          <cell r="D28">
            <v>0.51800000000000002</v>
          </cell>
          <cell r="E28">
            <v>0.51800000000000002</v>
          </cell>
          <cell r="F28">
            <v>0.51800000000000002</v>
          </cell>
        </row>
        <row r="29">
          <cell r="B29" t="str">
            <v>Install VSD on Irrigation Pump</v>
          </cell>
          <cell r="C29">
            <v>0.63</v>
          </cell>
          <cell r="D29">
            <v>0.63</v>
          </cell>
          <cell r="E29">
            <v>0.63</v>
          </cell>
          <cell r="F29">
            <v>0.63</v>
          </cell>
        </row>
        <row r="30">
          <cell r="B30" t="str">
            <v>VSD - Vacuum Pump - FreeStall</v>
          </cell>
          <cell r="C30">
            <v>2.5000000000000022E-3</v>
          </cell>
          <cell r="D30">
            <v>2.5000000000000022E-3</v>
          </cell>
          <cell r="E30">
            <v>2.5000000000000022E-3</v>
          </cell>
          <cell r="F30">
            <v>2.5000000000000022E-3</v>
          </cell>
        </row>
        <row r="31">
          <cell r="B31" t="str">
            <v>Plate Milk Pre-cooler - FreeStall</v>
          </cell>
          <cell r="C31">
            <v>4.7500000000000042E-2</v>
          </cell>
          <cell r="D31">
            <v>4.7500000000000042E-2</v>
          </cell>
          <cell r="E31">
            <v>4.7500000000000042E-2</v>
          </cell>
          <cell r="F31">
            <v>4.7500000000000042E-2</v>
          </cell>
        </row>
        <row r="32">
          <cell r="B32" t="str">
            <v>Energy Efficient Lighting - FreeStall</v>
          </cell>
          <cell r="C32">
            <v>0.22596247328595939</v>
          </cell>
          <cell r="D32">
            <v>0.22596247328595939</v>
          </cell>
          <cell r="E32">
            <v>0.22596247328595939</v>
          </cell>
          <cell r="F32">
            <v>0.22596247328595939</v>
          </cell>
        </row>
        <row r="33">
          <cell r="B33" t="str">
            <v>VSD - Vacuum Pump - TieStall</v>
          </cell>
          <cell r="C33">
            <v>0.1604247304551811</v>
          </cell>
          <cell r="D33">
            <v>0.1604247304551811</v>
          </cell>
          <cell r="E33">
            <v>0.1604247304551811</v>
          </cell>
          <cell r="F33">
            <v>0.1604247304551811</v>
          </cell>
        </row>
        <row r="34">
          <cell r="B34" t="str">
            <v>Heat Recovery Refrigeration - TieStall</v>
          </cell>
          <cell r="C34">
            <v>0.84147877475526689</v>
          </cell>
          <cell r="D34">
            <v>0.84147877475526689</v>
          </cell>
          <cell r="E34">
            <v>0.84147877475526689</v>
          </cell>
          <cell r="F34">
            <v>0.84147877475526689</v>
          </cell>
        </row>
        <row r="35">
          <cell r="B35" t="str">
            <v>Plate Milk Pre-Cooler - TieStall</v>
          </cell>
          <cell r="C35">
            <v>0.539760454730004</v>
          </cell>
          <cell r="D35">
            <v>0.539760454730004</v>
          </cell>
          <cell r="E35">
            <v>0.539760454730004</v>
          </cell>
          <cell r="F35">
            <v>0.539760454730004</v>
          </cell>
        </row>
        <row r="36">
          <cell r="B36" t="str">
            <v>Energy Efficient Lighting - TieStall</v>
          </cell>
          <cell r="C36">
            <v>7.1883204763838152E-2</v>
          </cell>
          <cell r="D36">
            <v>7.1883204763838152E-2</v>
          </cell>
          <cell r="E36">
            <v>7.1883204763838152E-2</v>
          </cell>
          <cell r="F36">
            <v>7.1883204763838152E-2</v>
          </cell>
        </row>
        <row r="37">
          <cell r="B37" t="str">
            <v>35-44W LED fixture &amp; NEW Photocell_Replacing_175W MH fixture</v>
          </cell>
          <cell r="C37">
            <v>0.18000000000000002</v>
          </cell>
          <cell r="D37">
            <v>0.18000000000000002</v>
          </cell>
          <cell r="E37">
            <v>0.18000000000000002</v>
          </cell>
          <cell r="F37">
            <v>0.18000000000000002</v>
          </cell>
        </row>
        <row r="38">
          <cell r="B38" t="str">
            <v>35-44W LED fixture &amp; NEW Photocell_Replacing_150W HID fixture</v>
          </cell>
          <cell r="C38">
            <v>0.18000000000000002</v>
          </cell>
          <cell r="D38">
            <v>0.18000000000000002</v>
          </cell>
          <cell r="E38">
            <v>0.18000000000000002</v>
          </cell>
          <cell r="F38">
            <v>0.18000000000000002</v>
          </cell>
        </row>
        <row r="39">
          <cell r="B39" t="str">
            <v>35-44W LED fixture &amp; NEW Photocell_Replacing_100W HID fixture</v>
          </cell>
          <cell r="C39">
            <v>0.18000000000000002</v>
          </cell>
          <cell r="D39">
            <v>0.18000000000000002</v>
          </cell>
          <cell r="E39">
            <v>0.18000000000000002</v>
          </cell>
          <cell r="F39">
            <v>0.18000000000000002</v>
          </cell>
        </row>
        <row r="40">
          <cell r="B40" t="str">
            <v>35-44W LED fixture &amp; NEW Photocell_Replacing_175W MV fixture</v>
          </cell>
          <cell r="C40">
            <v>0.18000000000000002</v>
          </cell>
          <cell r="D40">
            <v>0.18000000000000002</v>
          </cell>
          <cell r="E40">
            <v>0.18000000000000002</v>
          </cell>
          <cell r="F40">
            <v>0.18000000000000002</v>
          </cell>
        </row>
        <row r="41">
          <cell r="B41" t="str">
            <v>35-44W LED fixture &amp; NEW Photocell_Replacing_200W HID fixture</v>
          </cell>
          <cell r="C41">
            <v>0.18000000000000002</v>
          </cell>
          <cell r="D41">
            <v>0.18000000000000002</v>
          </cell>
          <cell r="E41">
            <v>0.18000000000000002</v>
          </cell>
          <cell r="F41">
            <v>0.18000000000000002</v>
          </cell>
        </row>
      </sheetData>
      <sheetData sheetId="5"/>
      <sheetData sheetId="6"/>
      <sheetData sheetId="7"/>
      <sheetData sheetId="8"/>
      <sheetData sheetId="9">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row>
        <row r="18">
          <cell r="B18" t="str">
            <v>Measure Index Name</v>
          </cell>
          <cell r="C18" t="str">
            <v>Ramp</v>
          </cell>
          <cell r="D18">
            <v>2016</v>
          </cell>
          <cell r="E18">
            <v>2017</v>
          </cell>
          <cell r="F18">
            <v>2018</v>
          </cell>
          <cell r="G18">
            <v>2019</v>
          </cell>
          <cell r="H18">
            <v>2020</v>
          </cell>
          <cell r="I18">
            <v>2021</v>
          </cell>
          <cell r="J18">
            <v>2022</v>
          </cell>
          <cell r="K18">
            <v>2023</v>
          </cell>
          <cell r="L18">
            <v>2024</v>
          </cell>
          <cell r="M18">
            <v>2025</v>
          </cell>
          <cell r="N18">
            <v>2026</v>
          </cell>
          <cell r="O18">
            <v>2027</v>
          </cell>
          <cell r="P18">
            <v>2028</v>
          </cell>
          <cell r="Q18">
            <v>2029</v>
          </cell>
          <cell r="R18">
            <v>2030</v>
          </cell>
          <cell r="S18">
            <v>2031</v>
          </cell>
          <cell r="T18">
            <v>2032</v>
          </cell>
          <cell r="U18">
            <v>2033</v>
          </cell>
          <cell r="V18">
            <v>2034</v>
          </cell>
          <cell r="W18">
            <v>2035</v>
          </cell>
        </row>
        <row r="19">
          <cell r="A19" t="str">
            <v>Irrigation</v>
          </cell>
          <cell r="B19" t="str">
            <v>Irrigation Hardware - Retro</v>
          </cell>
          <cell r="C19" t="str">
            <v>Retro12Med</v>
          </cell>
          <cell r="D19">
            <v>0.10937459468255628</v>
          </cell>
          <cell r="E19">
            <v>0.10937459468255628</v>
          </cell>
          <cell r="F19">
            <v>0.10937459468255628</v>
          </cell>
          <cell r="G19">
            <v>0.10937459468255628</v>
          </cell>
          <cell r="H19">
            <v>0.10937459468255628</v>
          </cell>
          <cell r="I19">
            <v>9.8437135214300656E-2</v>
          </cell>
          <cell r="J19">
            <v>7.874970817144053E-2</v>
          </cell>
          <cell r="K19">
            <v>6.2999766537152418E-2</v>
          </cell>
          <cell r="L19">
            <v>5.0399813229721938E-2</v>
          </cell>
          <cell r="M19">
            <v>4.0319850583777551E-2</v>
          </cell>
          <cell r="N19">
            <v>3.225588046702204E-2</v>
          </cell>
          <cell r="O19">
            <v>2.5804704373617631E-2</v>
          </cell>
          <cell r="P19">
            <v>2.0643763498894106E-2</v>
          </cell>
          <cell r="Q19">
            <v>1.6515010799115284E-2</v>
          </cell>
          <cell r="R19">
            <v>1.3212008639292228E-2</v>
          </cell>
          <cell r="S19">
            <v>1.0569606911433781E-2</v>
          </cell>
          <cell r="T19">
            <v>7.2092823794611682E-5</v>
          </cell>
          <cell r="U19">
            <v>2.5747437069512102E-5</v>
          </cell>
          <cell r="V19">
            <v>8.7775353646568632E-6</v>
          </cell>
          <cell r="W19">
            <v>2.8622397928446119E-6</v>
          </cell>
        </row>
        <row r="20">
          <cell r="A20" t="str">
            <v>Refrigeration</v>
          </cell>
          <cell r="B20" t="str">
            <v>Dairy - Retro</v>
          </cell>
          <cell r="C20" t="str">
            <v>Retro5Med</v>
          </cell>
          <cell r="D20">
            <v>4.2999999999999997E-2</v>
          </cell>
          <cell r="E20">
            <v>5.279714228027832E-2</v>
          </cell>
          <cell r="F20">
            <v>6.4608251467478173E-2</v>
          </cell>
          <cell r="G20">
            <v>7.4999999999999997E-2</v>
          </cell>
          <cell r="H20">
            <v>8.5546997470333563E-2</v>
          </cell>
          <cell r="I20">
            <v>0.10001472303820647</v>
          </cell>
          <cell r="J20">
            <v>0.10971770435235073</v>
          </cell>
          <cell r="K20">
            <v>0.11208438511970376</v>
          </cell>
          <cell r="L20">
            <v>0.10562608162722853</v>
          </cell>
          <cell r="M20">
            <v>9.0794563997872335E-2</v>
          </cell>
          <cell r="N20">
            <v>7.0260666991849297E-2</v>
          </cell>
          <cell r="O20">
            <v>4.8218360404944538E-2</v>
          </cell>
          <cell r="P20">
            <v>2.8854234614640095E-2</v>
          </cell>
          <cell r="Q20">
            <v>1.4773964924806759E-2</v>
          </cell>
          <cell r="R20">
            <v>6.3385343681182649E-3</v>
          </cell>
          <cell r="S20">
            <v>2.2268577196306039E-3</v>
          </cell>
          <cell r="T20">
            <v>6.2471001963848583E-4</v>
          </cell>
          <cell r="U20">
            <v>1.3615841889635938E-4</v>
          </cell>
          <cell r="V20">
            <v>2.2380636622298944E-5</v>
          </cell>
          <cell r="W20">
            <v>2.68643837586513E-6</v>
          </cell>
        </row>
        <row r="21">
          <cell r="A21" t="str">
            <v>Lighting</v>
          </cell>
          <cell r="B21" t="str">
            <v>Lighting - Retro</v>
          </cell>
          <cell r="C21" t="str">
            <v>Retro20Fast</v>
          </cell>
          <cell r="D21">
            <v>0.22119921692859512</v>
          </cell>
          <cell r="E21">
            <v>0.15504311102289431</v>
          </cell>
          <cell r="F21">
            <v>0.10733128557729499</v>
          </cell>
          <cell r="G21">
            <v>8.3589689255657879E-2</v>
          </cell>
          <cell r="H21">
            <v>7.3237179880126971E-2</v>
          </cell>
          <cell r="I21">
            <v>6.3374636711760357E-2</v>
          </cell>
          <cell r="J21">
            <v>5.4291838367783084E-2</v>
          </cell>
          <cell r="K21">
            <v>4.612639225659896E-2</v>
          </cell>
          <cell r="L21">
            <v>3.8916876277172864E-2</v>
          </cell>
          <cell r="M21">
            <v>3.2639916313151704E-2</v>
          </cell>
          <cell r="N21">
            <v>2.7235706125786907E-2</v>
          </cell>
          <cell r="O21">
            <v>2.1211189258265428E-2</v>
          </cell>
          <cell r="P21">
            <v>1.6519290804212883E-2</v>
          </cell>
          <cell r="Q21">
            <v>1.2865236614105324E-2</v>
          </cell>
          <cell r="R21">
            <v>1.0019456349464106E-2</v>
          </cell>
          <cell r="S21">
            <v>7.8031604509122832E-3</v>
          </cell>
          <cell r="T21">
            <v>6.077107469602494E-3</v>
          </cell>
          <cell r="U21">
            <v>4.7328560561354371E-3</v>
          </cell>
          <cell r="V21">
            <v>3.6859520026825132E-3</v>
          </cell>
          <cell r="W21">
            <v>2.8706223060526725E-3</v>
          </cell>
        </row>
        <row r="22">
          <cell r="A22" t="str">
            <v>Irrigation</v>
          </cell>
          <cell r="B22" t="str">
            <v>Irrigation Efficiency - Retro</v>
          </cell>
          <cell r="C22" t="str">
            <v>Retro1Slow</v>
          </cell>
          <cell r="D22">
            <v>2.5643970768378654E-3</v>
          </cell>
          <cell r="E22">
            <v>5.1260615529385989E-3</v>
          </cell>
          <cell r="F22">
            <v>9.1015544176433795E-3</v>
          </cell>
          <cell r="G22">
            <v>1.4804925730045659E-2</v>
          </cell>
          <cell r="H22">
            <v>2.2471809420486211E-2</v>
          </cell>
          <cell r="I22">
            <v>3.2184432813882391E-2</v>
          </cell>
          <cell r="J22">
            <v>4.3779667172004086E-2</v>
          </cell>
          <cell r="K22">
            <v>5.675426075474499E-2</v>
          </cell>
          <cell r="L22">
            <v>7.0195239068707532E-2</v>
          </cell>
          <cell r="M22">
            <v>8.2776861842756788E-2</v>
          </cell>
          <cell r="N22">
            <v>9.2870259507494834E-2</v>
          </cell>
          <cell r="O22">
            <v>9.8796470678915727E-2</v>
          </cell>
          <cell r="P22">
            <v>9.9208932889988999E-2</v>
          </cell>
          <cell r="Q22">
            <v>9.3521150494244254E-2</v>
          </cell>
          <cell r="R22">
            <v>8.2226007896862296E-2</v>
          </cell>
          <cell r="S22">
            <v>6.6933566027365665E-2</v>
          </cell>
          <cell r="T22">
            <v>5.0029565143448806E-2</v>
          </cell>
          <cell r="U22">
            <v>3.402486521893211E-2</v>
          </cell>
          <cell r="V22">
            <v>2.0846059340774659E-2</v>
          </cell>
          <cell r="W22">
            <v>0.01</v>
          </cell>
        </row>
        <row r="23">
          <cell r="A23" t="str">
            <v>Irrigation</v>
          </cell>
          <cell r="B23" t="str">
            <v>Irrigation Pressure - Retro</v>
          </cell>
          <cell r="C23" t="str">
            <v>Retro1Slow</v>
          </cell>
          <cell r="D23">
            <v>2.5643970768378654E-3</v>
          </cell>
          <cell r="E23">
            <v>5.1260615529385989E-3</v>
          </cell>
          <cell r="F23">
            <v>9.1015544176433795E-3</v>
          </cell>
          <cell r="G23">
            <v>1.4804925730045659E-2</v>
          </cell>
          <cell r="H23">
            <v>2.2471809420486211E-2</v>
          </cell>
          <cell r="I23">
            <v>3.2184432813882391E-2</v>
          </cell>
          <cell r="J23">
            <v>4.3779667172004086E-2</v>
          </cell>
          <cell r="K23">
            <v>5.675426075474499E-2</v>
          </cell>
          <cell r="L23">
            <v>7.0195239068707532E-2</v>
          </cell>
          <cell r="M23">
            <v>8.2776861842756788E-2</v>
          </cell>
          <cell r="N23">
            <v>9.2870259507494834E-2</v>
          </cell>
          <cell r="O23">
            <v>9.8796470678915727E-2</v>
          </cell>
          <cell r="P23">
            <v>9.9208932889988999E-2</v>
          </cell>
          <cell r="Q23">
            <v>9.3521150494244254E-2</v>
          </cell>
          <cell r="R23">
            <v>8.2226007896862296E-2</v>
          </cell>
          <cell r="S23">
            <v>6.6933566027365665E-2</v>
          </cell>
          <cell r="T23">
            <v>5.0029565143448806E-2</v>
          </cell>
          <cell r="U23">
            <v>3.402486521893211E-2</v>
          </cell>
          <cell r="V23">
            <v>2.0846059340774659E-2</v>
          </cell>
          <cell r="W23">
            <v>0.01</v>
          </cell>
        </row>
        <row r="24">
          <cell r="A24" t="str">
            <v>Motors/Drives</v>
          </cell>
          <cell r="B24" t="str">
            <v>Irrigation Motor - Retro</v>
          </cell>
          <cell r="C24" t="str">
            <v>Retro12Med</v>
          </cell>
          <cell r="D24">
            <v>0.10937459468255628</v>
          </cell>
          <cell r="E24">
            <v>0.10937459468255628</v>
          </cell>
          <cell r="F24">
            <v>0.10937459468255628</v>
          </cell>
          <cell r="G24">
            <v>0.10937459468255628</v>
          </cell>
          <cell r="H24">
            <v>0.10937459468255628</v>
          </cell>
          <cell r="I24">
            <v>9.8437135214300656E-2</v>
          </cell>
          <cell r="J24">
            <v>7.874970817144053E-2</v>
          </cell>
          <cell r="K24">
            <v>6.2999766537152418E-2</v>
          </cell>
          <cell r="L24">
            <v>5.0399813229721938E-2</v>
          </cell>
          <cell r="M24">
            <v>4.0319850583777551E-2</v>
          </cell>
          <cell r="N24">
            <v>3.225588046702204E-2</v>
          </cell>
          <cell r="O24">
            <v>2.5804704373617631E-2</v>
          </cell>
          <cell r="P24">
            <v>2.0643763498894106E-2</v>
          </cell>
          <cell r="Q24">
            <v>1.6515010799115284E-2</v>
          </cell>
          <cell r="R24">
            <v>1.3212008639292228E-2</v>
          </cell>
          <cell r="S24">
            <v>1.0569606911433781E-2</v>
          </cell>
          <cell r="T24">
            <v>7.2092823794611682E-5</v>
          </cell>
          <cell r="U24">
            <v>2.5747437069512102E-5</v>
          </cell>
          <cell r="V24">
            <v>8.7775353646568632E-6</v>
          </cell>
          <cell r="W24">
            <v>2.8622397928446119E-6</v>
          </cell>
        </row>
        <row r="25">
          <cell r="A25" t="str">
            <v>Irrigation</v>
          </cell>
          <cell r="B25" t="str">
            <v>Irrigation Water Mgmt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Low)"/>
      <sheetName val="Ind Forecast (Base Case)"/>
      <sheetName val="Ind Forecast (High)"/>
      <sheetName val="Ag Forecast (Low)"/>
      <sheetName val="Ag Forecast (Base Case)"/>
      <sheetName val="Ag Forecast (High)"/>
      <sheetName val="Pop Forecast (High)"/>
      <sheetName val="Pop Forecast (Base Case)"/>
      <sheetName val="Pop Forecast (Low)"/>
      <sheetName val="DEI (Base Case)"/>
      <sheetName val="Dairy Forecast (Base Case)"/>
      <sheetName val="Dairy Forecast (Low)"/>
      <sheetName val="Dairy Forecast (High)"/>
      <sheetName val="EV Forecast (Base Case)"/>
      <sheetName val="EV Forecast (Low)"/>
      <sheetName val="EV Forecast (High)"/>
    </sheetNames>
    <definedNames>
      <definedName name="rng_ForecastColumnLookup" refersTo="='Forecast Switchboard'!$H$20:$AE$20"/>
      <definedName name="rng_ForecastRowLookup" refersTo="='Forecast Switchboard'!$G$21:$G$501"/>
      <definedName name="switch_ForecastScenario" refersTo="='Forecast Switchboard'!$H$3"/>
      <definedName name="tbl_Forecast" refersTo="='Forecast Switchboard'!$H$21:$AE$501"/>
    </definedNames>
    <sheetDataSet>
      <sheetData sheetId="0"/>
      <sheetData sheetId="1">
        <row r="3">
          <cell r="H3" t="str">
            <v>Base</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RegionXLarge RetNew</v>
          </cell>
          <cell r="H32" t="str">
            <v>Com</v>
          </cell>
          <cell r="I32" t="str">
            <v>XLarge Ret</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RegionLarge RetNew</v>
          </cell>
          <cell r="H33" t="str">
            <v>Com</v>
          </cell>
          <cell r="I33" t="str">
            <v>Large Ret</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RegionMedium RetNew</v>
          </cell>
          <cell r="H34" t="str">
            <v>Com</v>
          </cell>
          <cell r="I34" t="str">
            <v>Medium Ret</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RegionSmall RetNew</v>
          </cell>
          <cell r="H35" t="str">
            <v>Com</v>
          </cell>
          <cell r="I35" t="str">
            <v>Small Ret</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RegionSchool K-12New</v>
          </cell>
          <cell r="H36" t="str">
            <v>Com</v>
          </cell>
          <cell r="I36" t="str">
            <v>School 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RegionResidential CareNew</v>
          </cell>
          <cell r="H44" t="str">
            <v>Com</v>
          </cell>
          <cell r="I44" t="str">
            <v>Residential Care</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RegionXLarge RetStock 2016</v>
          </cell>
          <cell r="H50" t="str">
            <v>Com</v>
          </cell>
          <cell r="I50" t="str">
            <v>XLarge Ret</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RegionLarge RetStock 2016</v>
          </cell>
          <cell r="H51" t="str">
            <v>Com</v>
          </cell>
          <cell r="I51" t="str">
            <v>Large Ret</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RegionMedium RetStock 2016</v>
          </cell>
          <cell r="H52" t="str">
            <v>Com</v>
          </cell>
          <cell r="I52" t="str">
            <v>Medium Ret</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RegionSmall RetStock 2016</v>
          </cell>
          <cell r="H53" t="str">
            <v>Com</v>
          </cell>
          <cell r="I53" t="str">
            <v>Small Ret</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RegionSchool K-12Stock 2016</v>
          </cell>
          <cell r="H54" t="str">
            <v>Com</v>
          </cell>
          <cell r="I54" t="str">
            <v>School 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RegionResidential CareStock 2016</v>
          </cell>
          <cell r="H62" t="str">
            <v>Com</v>
          </cell>
          <cell r="I62" t="str">
            <v>Residential Care</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row r="65">
          <cell r="G65" t="str">
            <v>RegionIdahoStock</v>
          </cell>
          <cell r="H65" t="str">
            <v>Ag</v>
          </cell>
          <cell r="I65" t="str">
            <v>Idaho</v>
          </cell>
          <cell r="J65" t="str">
            <v>Stock</v>
          </cell>
          <cell r="K65" t="str">
            <v>% Growth</v>
          </cell>
          <cell r="L65">
            <v>0</v>
          </cell>
          <cell r="M65">
            <v>1.2504100211369894E-4</v>
          </cell>
          <cell r="N65">
            <v>1.7375879514796466E-4</v>
          </cell>
          <cell r="O65">
            <v>6.1210927779177624E-4</v>
          </cell>
          <cell r="P65">
            <v>8.8127487458086599E-4</v>
          </cell>
          <cell r="Q65">
            <v>1.1201972174019578E-3</v>
          </cell>
          <cell r="R65">
            <v>1.2717867360821197E-3</v>
          </cell>
          <cell r="S65">
            <v>1.4404642508513471E-3</v>
          </cell>
          <cell r="T65">
            <v>1.5874396385228723E-3</v>
          </cell>
          <cell r="U65">
            <v>1.7204636459112381E-3</v>
          </cell>
          <cell r="V65">
            <v>1.8289050040785739E-3</v>
          </cell>
          <cell r="W65">
            <v>1.9377539743383628E-3</v>
          </cell>
          <cell r="X65">
            <v>2.0316119038316116E-3</v>
          </cell>
          <cell r="Y65">
            <v>2.128079506222659E-3</v>
          </cell>
          <cell r="Z65">
            <v>2.2126572758413075E-3</v>
          </cell>
          <cell r="AA65">
            <v>2.2578225416429688E-3</v>
          </cell>
          <cell r="AB65">
            <v>2.3464540176612314E-3</v>
          </cell>
          <cell r="AC65">
            <v>2.414467009038601E-3</v>
          </cell>
          <cell r="AD65">
            <v>2.4848313911262653E-3</v>
          </cell>
          <cell r="AE65">
            <v>2.5344116000376449E-3</v>
          </cell>
        </row>
        <row r="66">
          <cell r="G66" t="str">
            <v>RegionMontanaStock</v>
          </cell>
          <cell r="H66" t="str">
            <v>Ag</v>
          </cell>
          <cell r="I66" t="str">
            <v>Montana</v>
          </cell>
          <cell r="J66" t="str">
            <v>Stock</v>
          </cell>
          <cell r="K66" t="str">
            <v>% Growth</v>
          </cell>
          <cell r="L66">
            <v>0</v>
          </cell>
          <cell r="M66">
            <v>1.0848242299839954E-2</v>
          </cell>
          <cell r="N66">
            <v>1.059267655252486E-2</v>
          </cell>
          <cell r="O66">
            <v>1.0752312089181865E-2</v>
          </cell>
          <cell r="P66">
            <v>1.075849831916186E-2</v>
          </cell>
          <cell r="Q66">
            <v>7.6567396067742733E-3</v>
          </cell>
          <cell r="R66">
            <v>7.6532068711881581E-3</v>
          </cell>
          <cell r="S66">
            <v>7.9235679867256659E-3</v>
          </cell>
          <cell r="T66">
            <v>8.1459053842477987E-3</v>
          </cell>
          <cell r="U66">
            <v>8.331284422267278E-3</v>
          </cell>
          <cell r="V66">
            <v>8.47135846405455E-3</v>
          </cell>
          <cell r="W66">
            <v>8.5938864965773454E-3</v>
          </cell>
          <cell r="X66">
            <v>8.6866032784890905E-3</v>
          </cell>
          <cell r="Y66">
            <v>8.7680800681235963E-3</v>
          </cell>
          <cell r="Z66">
            <v>8.8271867856936984E-3</v>
          </cell>
          <cell r="AA66">
            <v>8.8355566433926322E-3</v>
          </cell>
          <cell r="AB66">
            <v>8.8812025924713319E-3</v>
          </cell>
          <cell r="AC66">
            <v>8.8979055290069331E-3</v>
          </cell>
          <cell r="AD66">
            <v>8.9118787925779024E-3</v>
          </cell>
          <cell r="AE66">
            <v>8.9015256915168112E-3</v>
          </cell>
        </row>
        <row r="67">
          <cell r="G67" t="str">
            <v>RegionOregonStock</v>
          </cell>
          <cell r="H67" t="str">
            <v>Ag</v>
          </cell>
          <cell r="I67" t="str">
            <v>Oregon</v>
          </cell>
          <cell r="J67" t="str">
            <v>Stock</v>
          </cell>
          <cell r="K67" t="str">
            <v>% Growth</v>
          </cell>
          <cell r="L67">
            <v>0</v>
          </cell>
          <cell r="M67">
            <v>1.0110842680911804E-2</v>
          </cell>
          <cell r="N67">
            <v>1.0059217505089263E-2</v>
          </cell>
          <cell r="O67">
            <v>1.1176866051223918E-2</v>
          </cell>
          <cell r="P67">
            <v>1.9803102619340613E-2</v>
          </cell>
          <cell r="Q67">
            <v>1.2078828157499845E-2</v>
          </cell>
          <cell r="R67">
            <v>1.2074917420983849E-2</v>
          </cell>
          <cell r="S67">
            <v>1.2823009061012478E-2</v>
          </cell>
          <cell r="T67">
            <v>1.2064646132519813E-2</v>
          </cell>
          <cell r="U67">
            <v>2.1359830411811859E-2</v>
          </cell>
          <cell r="V67">
            <v>1.1864279678250279E-2</v>
          </cell>
          <cell r="W67">
            <v>1.1811806122028052E-2</v>
          </cell>
          <cell r="X67">
            <v>1.1060463245174785E-2</v>
          </cell>
          <cell r="Y67">
            <v>1.1689201211084101E-2</v>
          </cell>
          <cell r="Z67">
            <v>1.9623204602959039E-2</v>
          </cell>
          <cell r="AA67">
            <v>1.2054155221857031E-2</v>
          </cell>
          <cell r="AB67">
            <v>1.2615728823653952E-2</v>
          </cell>
          <cell r="AC67">
            <v>1.2496481187089379E-2</v>
          </cell>
          <cell r="AD67">
            <v>1.1753415892541448E-2</v>
          </cell>
          <cell r="AE67">
            <v>2.0946064887122692E-2</v>
          </cell>
        </row>
        <row r="68">
          <cell r="G68" t="str">
            <v>RegionWashingtonStock</v>
          </cell>
          <cell r="H68" t="str">
            <v>Ag</v>
          </cell>
          <cell r="I68" t="str">
            <v>Washington</v>
          </cell>
          <cell r="J68" t="str">
            <v>Stock</v>
          </cell>
          <cell r="K68" t="str">
            <v>% Growth</v>
          </cell>
          <cell r="L68">
            <v>0</v>
          </cell>
          <cell r="M68">
            <v>1.0662122206220235E-2</v>
          </cell>
          <cell r="N68">
            <v>1.0931258902780325E-2</v>
          </cell>
          <cell r="O68">
            <v>1.1173761515183053E-2</v>
          </cell>
          <cell r="P68">
            <v>1.811439906784525E-2</v>
          </cell>
          <cell r="Q68">
            <v>1.2399989211989764E-2</v>
          </cell>
          <cell r="R68">
            <v>1.1939862954954953E-2</v>
          </cell>
          <cell r="S68">
            <v>1.2288284859874222E-2</v>
          </cell>
          <cell r="T68">
            <v>1.1842226253476947E-2</v>
          </cell>
          <cell r="U68">
            <v>1.9682157833762929E-2</v>
          </cell>
          <cell r="V68">
            <v>1.1592234987503456E-2</v>
          </cell>
          <cell r="W68">
            <v>1.1147844023716795E-2</v>
          </cell>
          <cell r="X68">
            <v>1.1425985017752077E-2</v>
          </cell>
          <cell r="Y68">
            <v>1.0985810035676221E-2</v>
          </cell>
          <cell r="Z68">
            <v>1.7930228386922677E-2</v>
          </cell>
          <cell r="AA68">
            <v>1.1736355426763144E-2</v>
          </cell>
          <cell r="AB68">
            <v>1.1982095590114178E-2</v>
          </cell>
          <cell r="AC68">
            <v>1.1862624139313738E-2</v>
          </cell>
          <cell r="AD68">
            <v>1.1418033334772959E-2</v>
          </cell>
          <cell r="AE68">
            <v>1.8838157687553127E-2</v>
          </cell>
        </row>
        <row r="69">
          <cell r="G69" t="str">
            <v>RegionIdahoDairyStock</v>
          </cell>
          <cell r="H69" t="str">
            <v>Dairy</v>
          </cell>
          <cell r="I69" t="str">
            <v>IdahoDairy</v>
          </cell>
          <cell r="J69" t="str">
            <v>Stock</v>
          </cell>
          <cell r="K69" t="str">
            <v>1000lbs</v>
          </cell>
          <cell r="L69">
            <v>13629.012110609969</v>
          </cell>
          <cell r="M69">
            <v>13842.907114251881</v>
          </cell>
          <cell r="N69">
            <v>14023.216425344392</v>
          </cell>
          <cell r="O69">
            <v>14266.319353967396</v>
          </cell>
          <cell r="P69">
            <v>14513.683501515552</v>
          </cell>
          <cell r="Q69">
            <v>14784.738793280194</v>
          </cell>
          <cell r="R69">
            <v>15048.82150982591</v>
          </cell>
          <cell r="S69">
            <v>15351.081667959821</v>
          </cell>
          <cell r="T69">
            <v>15676.70161423125</v>
          </cell>
          <cell r="U69">
            <v>16022.910400199034</v>
          </cell>
          <cell r="V69">
            <v>16435.334001552066</v>
          </cell>
          <cell r="W69">
            <v>16796.9270935268</v>
          </cell>
          <cell r="X69">
            <v>17186.008838626629</v>
          </cell>
          <cell r="Y69">
            <v>17509.663776252026</v>
          </cell>
          <cell r="Z69">
            <v>17849.045518001847</v>
          </cell>
          <cell r="AA69">
            <v>18205.116228437721</v>
          </cell>
          <cell r="AB69">
            <v>18533.843580326749</v>
          </cell>
          <cell r="AC69">
            <v>18839.457555909743</v>
          </cell>
          <cell r="AD69">
            <v>19186.22471079613</v>
          </cell>
          <cell r="AE69">
            <v>19422.392838095242</v>
          </cell>
        </row>
        <row r="70">
          <cell r="G70" t="str">
            <v>RegionMontanaDairyStock</v>
          </cell>
          <cell r="H70" t="str">
            <v>Dairy</v>
          </cell>
          <cell r="I70" t="str">
            <v>MontanaDairy</v>
          </cell>
          <cell r="J70" t="str">
            <v>Stock</v>
          </cell>
          <cell r="K70" t="str">
            <v>1000lbs</v>
          </cell>
          <cell r="L70">
            <v>90.74529582059904</v>
          </cell>
          <cell r="M70">
            <v>90.898327903457215</v>
          </cell>
          <cell r="N70">
            <v>90.899562515809663</v>
          </cell>
          <cell r="O70">
            <v>91.013237267303055</v>
          </cell>
          <cell r="P70">
            <v>90.967755259326395</v>
          </cell>
          <cell r="Q70">
            <v>90.924506050749457</v>
          </cell>
          <cell r="R70">
            <v>91.025748037140048</v>
          </cell>
          <cell r="S70">
            <v>91.099301040678228</v>
          </cell>
          <cell r="T70">
            <v>90.915023147811965</v>
          </cell>
          <cell r="U70">
            <v>90.903023153329187</v>
          </cell>
          <cell r="V70">
            <v>90.903850245090197</v>
          </cell>
          <cell r="W70">
            <v>90.425722269176404</v>
          </cell>
          <cell r="X70">
            <v>90.371471553755299</v>
          </cell>
          <cell r="Y70">
            <v>90.264014484201496</v>
          </cell>
          <cell r="Z70">
            <v>90.097051493259059</v>
          </cell>
          <cell r="AA70">
            <v>89.896800203896433</v>
          </cell>
          <cell r="AB70">
            <v>89.896456479218287</v>
          </cell>
          <cell r="AC70">
            <v>89.606519803497406</v>
          </cell>
          <cell r="AD70">
            <v>89.325294250105614</v>
          </cell>
          <cell r="AE70">
            <v>89.328380794090677</v>
          </cell>
        </row>
        <row r="71">
          <cell r="G71" t="str">
            <v>RegionOregonDairyStock</v>
          </cell>
          <cell r="H71" t="str">
            <v>Dairy</v>
          </cell>
          <cell r="I71" t="str">
            <v>OregonDairy</v>
          </cell>
          <cell r="J71" t="str">
            <v>Stock</v>
          </cell>
          <cell r="K71" t="str">
            <v>1000lbs</v>
          </cell>
          <cell r="L71">
            <v>2744.180551622544</v>
          </cell>
          <cell r="M71">
            <v>2781.3253166710429</v>
          </cell>
          <cell r="N71">
            <v>2817.8028576592669</v>
          </cell>
          <cell r="O71">
            <v>2852.4466796581391</v>
          </cell>
          <cell r="P71">
            <v>2887.2703785501863</v>
          </cell>
          <cell r="Q71">
            <v>2923.2055190854799</v>
          </cell>
          <cell r="R71">
            <v>2963.8717110873577</v>
          </cell>
          <cell r="S71">
            <v>3007.9285968792492</v>
          </cell>
          <cell r="T71">
            <v>3054.4586648127197</v>
          </cell>
          <cell r="U71">
            <v>3103.2723514737127</v>
          </cell>
          <cell r="V71">
            <v>3155.2926430989965</v>
          </cell>
          <cell r="W71">
            <v>3205.2179835947745</v>
          </cell>
          <cell r="X71">
            <v>3255.0785902298294</v>
          </cell>
          <cell r="Y71">
            <v>3304.2085620815005</v>
          </cell>
          <cell r="Z71">
            <v>3359.7128554945239</v>
          </cell>
          <cell r="AA71">
            <v>3405.0605171911329</v>
          </cell>
          <cell r="AB71">
            <v>3454.1652559274162</v>
          </cell>
          <cell r="AC71">
            <v>3509.2005551615157</v>
          </cell>
          <cell r="AD71">
            <v>3557.2266817524842</v>
          </cell>
          <cell r="AE71">
            <v>3610.3576666465606</v>
          </cell>
        </row>
        <row r="72">
          <cell r="G72" t="str">
            <v>RegionWashingtonDairyStock</v>
          </cell>
          <cell r="H72" t="str">
            <v>Dairy</v>
          </cell>
          <cell r="I72" t="str">
            <v>WashingtonDairy</v>
          </cell>
          <cell r="J72" t="str">
            <v>Stock</v>
          </cell>
          <cell r="K72" t="str">
            <v>1000lbs</v>
          </cell>
          <cell r="L72">
            <v>6417.4166624736044</v>
          </cell>
          <cell r="M72">
            <v>6527.6845985495966</v>
          </cell>
          <cell r="N72">
            <v>6648.0748527559354</v>
          </cell>
          <cell r="O72">
            <v>6750.5768396680051</v>
          </cell>
          <cell r="P72">
            <v>6858.9947023924851</v>
          </cell>
          <cell r="Q72">
            <v>6950.9448303929594</v>
          </cell>
          <cell r="R72">
            <v>7066.5055116132971</v>
          </cell>
          <cell r="S72">
            <v>7154.1963866384513</v>
          </cell>
          <cell r="T72">
            <v>7260.5595150379595</v>
          </cell>
          <cell r="U72">
            <v>7382.1828771063319</v>
          </cell>
          <cell r="V72">
            <v>7515.612457778011</v>
          </cell>
          <cell r="W72">
            <v>7658.3815592644387</v>
          </cell>
          <cell r="X72">
            <v>7790.6041619373518</v>
          </cell>
          <cell r="Y72">
            <v>7925.9535611829233</v>
          </cell>
          <cell r="Z72">
            <v>8056.1594585167277</v>
          </cell>
          <cell r="AA72">
            <v>8212.3413257643278</v>
          </cell>
          <cell r="AB72">
            <v>8359.6360208598271</v>
          </cell>
          <cell r="AC72">
            <v>8487.3604780857568</v>
          </cell>
          <cell r="AD72">
            <v>8647.4216609802097</v>
          </cell>
          <cell r="AE72">
            <v>8766.8632794861296</v>
          </cell>
        </row>
        <row r="73">
          <cell r="G73" t="str">
            <v>RegionMechanical PulpStock</v>
          </cell>
          <cell r="H73" t="str">
            <v>Ind</v>
          </cell>
          <cell r="I73" t="str">
            <v>Mechanical Pulp</v>
          </cell>
          <cell r="J73" t="str">
            <v>Stock</v>
          </cell>
          <cell r="K73" t="str">
            <v>Consumption (MWh)</v>
          </cell>
          <cell r="L73">
            <v>3758422.9515033378</v>
          </cell>
          <cell r="M73">
            <v>3846371.717457301</v>
          </cell>
          <cell r="N73">
            <v>3968374.1915052147</v>
          </cell>
          <cell r="O73">
            <v>4090510.3824295267</v>
          </cell>
          <cell r="P73">
            <v>4250302.9154343279</v>
          </cell>
          <cell r="Q73">
            <v>4334033.2977658212</v>
          </cell>
          <cell r="R73">
            <v>4456327.439187984</v>
          </cell>
          <cell r="S73">
            <v>4578789.2711511394</v>
          </cell>
          <cell r="T73">
            <v>4701360.1942719091</v>
          </cell>
          <cell r="U73">
            <v>4824313.8733196864</v>
          </cell>
          <cell r="V73">
            <v>4947352.2681518989</v>
          </cell>
          <cell r="W73">
            <v>5070668.4941239785</v>
          </cell>
          <cell r="X73">
            <v>5241393.4127492504</v>
          </cell>
          <cell r="Y73">
            <v>5317320.3001071345</v>
          </cell>
          <cell r="Z73">
            <v>5440661.5619043242</v>
          </cell>
          <cell r="AA73">
            <v>5564018.2642552005</v>
          </cell>
          <cell r="AB73">
            <v>5739586.1964683067</v>
          </cell>
          <cell r="AC73">
            <v>5811280.9684790904</v>
          </cell>
          <cell r="AD73">
            <v>5935246.9976805374</v>
          </cell>
          <cell r="AE73">
            <v>6059032.0232603503</v>
          </cell>
        </row>
        <row r="74">
          <cell r="G74" t="str">
            <v>RegionKraft PulpStock</v>
          </cell>
          <cell r="H74" t="str">
            <v>Ind</v>
          </cell>
          <cell r="I74" t="str">
            <v>Kraft Pulp</v>
          </cell>
          <cell r="J74" t="str">
            <v>Stock</v>
          </cell>
          <cell r="K74" t="str">
            <v>Consumption (MWh)</v>
          </cell>
          <cell r="L74">
            <v>2773481.4382196674</v>
          </cell>
          <cell r="M74">
            <v>2819427.5750914654</v>
          </cell>
          <cell r="N74">
            <v>2890507.7097985409</v>
          </cell>
          <cell r="O74">
            <v>2962071.1114584161</v>
          </cell>
          <cell r="P74">
            <v>3059997.7868964532</v>
          </cell>
          <cell r="Q74">
            <v>3103655.7832492976</v>
          </cell>
          <cell r="R74">
            <v>3174966.0896720556</v>
          </cell>
          <cell r="S74">
            <v>3246510.2403896889</v>
          </cell>
          <cell r="T74">
            <v>3318080.388651574</v>
          </cell>
          <cell r="U74">
            <v>3389982.4618547466</v>
          </cell>
          <cell r="V74">
            <v>3462131.4738810235</v>
          </cell>
          <cell r="W74">
            <v>3534707.6510694856</v>
          </cell>
          <cell r="X74">
            <v>3640109.6347631621</v>
          </cell>
          <cell r="Y74">
            <v>3679903.4172538687</v>
          </cell>
          <cell r="Z74">
            <v>3752596.4740436999</v>
          </cell>
          <cell r="AA74">
            <v>3825294.7476344355</v>
          </cell>
          <cell r="AB74">
            <v>3934104.1351328893</v>
          </cell>
          <cell r="AC74">
            <v>3971456.2759534372</v>
          </cell>
          <cell r="AD74">
            <v>4044721.9040998006</v>
          </cell>
          <cell r="AE74">
            <v>4117951.8072271077</v>
          </cell>
        </row>
        <row r="75">
          <cell r="G75" t="str">
            <v>RegionPaperStock</v>
          </cell>
          <cell r="H75" t="str">
            <v>Ind</v>
          </cell>
          <cell r="I75" t="str">
            <v>Paper</v>
          </cell>
          <cell r="J75" t="str">
            <v>Stock</v>
          </cell>
          <cell r="K75" t="str">
            <v>Consumption (MWh)</v>
          </cell>
          <cell r="L75">
            <v>909695.70566164097</v>
          </cell>
          <cell r="M75">
            <v>929841.98736761883</v>
          </cell>
          <cell r="N75">
            <v>958296.9900283548</v>
          </cell>
          <cell r="O75">
            <v>986772.46541472664</v>
          </cell>
          <cell r="P75">
            <v>1024503.2482359634</v>
          </cell>
          <cell r="Q75">
            <v>1043814.269249864</v>
          </cell>
          <cell r="R75">
            <v>1072416.0473229263</v>
          </cell>
          <cell r="S75">
            <v>1101138.6289797227</v>
          </cell>
          <cell r="T75">
            <v>1129827.4252453854</v>
          </cell>
          <cell r="U75">
            <v>1158615.4096222189</v>
          </cell>
          <cell r="V75">
            <v>1187381.7412163604</v>
          </cell>
          <cell r="W75">
            <v>1216221.7351596826</v>
          </cell>
          <cell r="X75">
            <v>1256359.4314945252</v>
          </cell>
          <cell r="Y75">
            <v>1273754.7023949234</v>
          </cell>
          <cell r="Z75">
            <v>1302557.2241510332</v>
          </cell>
          <cell r="AA75">
            <v>1331330.2770174742</v>
          </cell>
          <cell r="AB75">
            <v>1372605.4069409962</v>
          </cell>
          <cell r="AC75">
            <v>1388979.5459728481</v>
          </cell>
          <cell r="AD75">
            <v>1417876.2653212347</v>
          </cell>
          <cell r="AE75">
            <v>1446660.9687985121</v>
          </cell>
        </row>
        <row r="76">
          <cell r="G76" t="str">
            <v>RegionFoundriesStock</v>
          </cell>
          <cell r="H76" t="str">
            <v>Ind</v>
          </cell>
          <cell r="I76" t="str">
            <v>Foundries</v>
          </cell>
          <cell r="J76" t="str">
            <v>Stock</v>
          </cell>
          <cell r="K76" t="str">
            <v>Consumption (MWh)</v>
          </cell>
          <cell r="L76">
            <v>2911780.7125423807</v>
          </cell>
          <cell r="M76">
            <v>2836711.9420544878</v>
          </cell>
          <cell r="N76">
            <v>2789583.7208478679</v>
          </cell>
          <cell r="O76">
            <v>2744161.1652043322</v>
          </cell>
          <cell r="P76">
            <v>2724138.9595719618</v>
          </cell>
          <cell r="Q76">
            <v>2657920.4757749322</v>
          </cell>
          <cell r="R76">
            <v>2617304.9227809869</v>
          </cell>
          <cell r="S76">
            <v>2577672.8738681655</v>
          </cell>
          <cell r="T76">
            <v>2539470.2769998731</v>
          </cell>
          <cell r="U76">
            <v>2502370.6800410077</v>
          </cell>
          <cell r="V76">
            <v>2466328.7382904179</v>
          </cell>
          <cell r="W76">
            <v>2431145.5854122876</v>
          </cell>
          <cell r="X76">
            <v>2419072.5388772879</v>
          </cell>
          <cell r="Y76">
            <v>2363410.6682392037</v>
          </cell>
          <cell r="Z76">
            <v>2330315.4302864787</v>
          </cell>
          <cell r="AA76">
            <v>2297818.1106687617</v>
          </cell>
          <cell r="AB76">
            <v>2286770.7986101452</v>
          </cell>
          <cell r="AC76">
            <v>2234701.6262630955</v>
          </cell>
          <cell r="AD76">
            <v>2204017.8086585626</v>
          </cell>
          <cell r="AE76">
            <v>2173546.4494459317</v>
          </cell>
        </row>
        <row r="77">
          <cell r="G77" t="str">
            <v>RegionFrozen FoodStock</v>
          </cell>
          <cell r="H77" t="str">
            <v>Ind</v>
          </cell>
          <cell r="I77" t="str">
            <v>Frozen Food</v>
          </cell>
          <cell r="J77" t="str">
            <v>Stock</v>
          </cell>
          <cell r="K77" t="str">
            <v>Consumption (MWh)</v>
          </cell>
          <cell r="L77">
            <v>1237117.9151862806</v>
          </cell>
          <cell r="M77">
            <v>1256265.8697824469</v>
          </cell>
          <cell r="N77">
            <v>1286638.141562406</v>
          </cell>
          <cell r="O77">
            <v>1317026.0249685342</v>
          </cell>
          <cell r="P77">
            <v>1359372.6119707115</v>
          </cell>
          <cell r="Q77">
            <v>1377450.5956346455</v>
          </cell>
          <cell r="R77">
            <v>1407752.7747509496</v>
          </cell>
          <cell r="S77">
            <v>1438031.0417962291</v>
          </cell>
          <cell r="T77">
            <v>1468359.9477337729</v>
          </cell>
          <cell r="U77">
            <v>1498806.1175902041</v>
          </cell>
          <cell r="V77">
            <v>1529247.5005361729</v>
          </cell>
          <cell r="W77">
            <v>1559755.0254088808</v>
          </cell>
          <cell r="X77">
            <v>1604695.7181381483</v>
          </cell>
          <cell r="Y77">
            <v>1620685.0488578391</v>
          </cell>
          <cell r="Z77">
            <v>1651120.4927678995</v>
          </cell>
          <cell r="AA77">
            <v>1681526.4060613776</v>
          </cell>
          <cell r="AB77">
            <v>1727706.9650814079</v>
          </cell>
          <cell r="AC77">
            <v>1742468.2976748645</v>
          </cell>
          <cell r="AD77">
            <v>1772999.536528415</v>
          </cell>
          <cell r="AE77">
            <v>1803423.3883706611</v>
          </cell>
        </row>
        <row r="78">
          <cell r="G78" t="str">
            <v>RegionOther FoodStock</v>
          </cell>
          <cell r="H78" t="str">
            <v>Ind</v>
          </cell>
          <cell r="I78" t="str">
            <v>Other Food</v>
          </cell>
          <cell r="J78" t="str">
            <v>Stock</v>
          </cell>
          <cell r="K78" t="str">
            <v>Consumption (MWh)</v>
          </cell>
          <cell r="L78">
            <v>2189215.7914933185</v>
          </cell>
          <cell r="M78">
            <v>2225714.4170001475</v>
          </cell>
          <cell r="N78">
            <v>2281801.3842795906</v>
          </cell>
          <cell r="O78">
            <v>2337878.4662610777</v>
          </cell>
          <cell r="P78">
            <v>2414859.5617400161</v>
          </cell>
          <cell r="Q78">
            <v>2449639.2617126312</v>
          </cell>
          <cell r="R78">
            <v>2505916.452109566</v>
          </cell>
          <cell r="S78">
            <v>2561919.8701418121</v>
          </cell>
          <cell r="T78">
            <v>2618248.9470964097</v>
          </cell>
          <cell r="U78">
            <v>2674706.0878431001</v>
          </cell>
          <cell r="V78">
            <v>2731406.8457201738</v>
          </cell>
          <cell r="W78">
            <v>2788145.294466868</v>
          </cell>
          <cell r="X78">
            <v>2870921.2322274465</v>
          </cell>
          <cell r="Y78">
            <v>2901825.3565548556</v>
          </cell>
          <cell r="Z78">
            <v>2958750.6188529818</v>
          </cell>
          <cell r="AA78">
            <v>3015584.6219987967</v>
          </cell>
          <cell r="AB78">
            <v>3100853.4167639203</v>
          </cell>
          <cell r="AC78">
            <v>3129759.8328607553</v>
          </cell>
          <cell r="AD78">
            <v>3187110.5829028329</v>
          </cell>
          <cell r="AE78">
            <v>3244229.8759716363</v>
          </cell>
        </row>
        <row r="79">
          <cell r="G79" t="str">
            <v>RegionWood - LumberStock</v>
          </cell>
          <cell r="H79" t="str">
            <v>Ind</v>
          </cell>
          <cell r="I79" t="str">
            <v>Wood - Lumber</v>
          </cell>
          <cell r="J79" t="str">
            <v>Stock</v>
          </cell>
          <cell r="K79" t="str">
            <v>Consumption (MWh)</v>
          </cell>
          <cell r="L79">
            <v>1161963.8217505382</v>
          </cell>
          <cell r="M79">
            <v>1117769.5487595289</v>
          </cell>
          <cell r="N79">
            <v>1084874.9921310821</v>
          </cell>
          <cell r="O79">
            <v>1052791.9192047431</v>
          </cell>
          <cell r="P79">
            <v>1030397.4491679214</v>
          </cell>
          <cell r="Q79">
            <v>990879.29279742646</v>
          </cell>
          <cell r="R79">
            <v>961065.17490868072</v>
          </cell>
          <cell r="S79">
            <v>931730.64036078285</v>
          </cell>
          <cell r="T79">
            <v>903080.08419384609</v>
          </cell>
          <cell r="U79">
            <v>874945.75211344392</v>
          </cell>
          <cell r="V79">
            <v>847310.7915088681</v>
          </cell>
          <cell r="W79">
            <v>820119.00687699113</v>
          </cell>
          <cell r="X79">
            <v>800618.32318729174</v>
          </cell>
          <cell r="Y79">
            <v>766954.27095195896</v>
          </cell>
          <cell r="Z79">
            <v>740908.22274123156</v>
          </cell>
          <cell r="AA79">
            <v>715106.45172531332</v>
          </cell>
          <cell r="AB79">
            <v>696028.08762583928</v>
          </cell>
          <cell r="AC79">
            <v>664509.97671853204</v>
          </cell>
          <cell r="AD79">
            <v>639621.04956848687</v>
          </cell>
          <cell r="AE79">
            <v>614946.99745740264</v>
          </cell>
        </row>
        <row r="80">
          <cell r="G80" t="str">
            <v>RegionWood - PanelStock</v>
          </cell>
          <cell r="H80" t="str">
            <v>Ind</v>
          </cell>
          <cell r="I80" t="str">
            <v>Wood - Panel</v>
          </cell>
          <cell r="J80" t="str">
            <v>Stock</v>
          </cell>
          <cell r="K80" t="str">
            <v>Consumption (MWh)</v>
          </cell>
          <cell r="L80">
            <v>551950.18982134352</v>
          </cell>
          <cell r="M80">
            <v>528731.18450453493</v>
          </cell>
          <cell r="N80">
            <v>510838.63702842174</v>
          </cell>
          <cell r="O80">
            <v>493229.56048375246</v>
          </cell>
          <cell r="P80">
            <v>480200.65450609016</v>
          </cell>
          <cell r="Q80">
            <v>458869.67437759304</v>
          </cell>
          <cell r="R80">
            <v>442034.77624590963</v>
          </cell>
          <cell r="S80">
            <v>425381.84725157876</v>
          </cell>
          <cell r="T80">
            <v>408945.79607863171</v>
          </cell>
          <cell r="U80">
            <v>392669.02882158436</v>
          </cell>
          <cell r="V80">
            <v>376527.17230508296</v>
          </cell>
          <cell r="W80">
            <v>360540.83558473963</v>
          </cell>
          <cell r="X80">
            <v>347793.23494737077</v>
          </cell>
          <cell r="Y80">
            <v>328864.0423583783</v>
          </cell>
          <cell r="Z80">
            <v>313174.70380282239</v>
          </cell>
          <cell r="AA80">
            <v>297578.74522290094</v>
          </cell>
          <cell r="AB80">
            <v>284693.91308797692</v>
          </cell>
          <cell r="AC80">
            <v>266695.50893493497</v>
          </cell>
          <cell r="AD80">
            <v>251377.16659093063</v>
          </cell>
          <cell r="AE80">
            <v>236121.41095945257</v>
          </cell>
        </row>
        <row r="81">
          <cell r="G81" t="str">
            <v>RegionWood - OtherStock</v>
          </cell>
          <cell r="H81" t="str">
            <v>Ind</v>
          </cell>
          <cell r="I81" t="str">
            <v>Wood - Other</v>
          </cell>
          <cell r="J81" t="str">
            <v>Stock</v>
          </cell>
          <cell r="K81" t="str">
            <v>Consumption (MWh)</v>
          </cell>
          <cell r="L81">
            <v>870727.85506649863</v>
          </cell>
          <cell r="M81">
            <v>839735.03037413268</v>
          </cell>
          <cell r="N81">
            <v>817265.57122340729</v>
          </cell>
          <cell r="O81">
            <v>795421.70406258584</v>
          </cell>
          <cell r="P81">
            <v>780923.07506947254</v>
          </cell>
          <cell r="Q81">
            <v>753146.51005964773</v>
          </cell>
          <cell r="R81">
            <v>732820.97518292943</v>
          </cell>
          <cell r="S81">
            <v>712886.70561548509</v>
          </cell>
          <cell r="T81">
            <v>693400.22734523669</v>
          </cell>
          <cell r="U81">
            <v>674308.65124034672</v>
          </cell>
          <cell r="V81">
            <v>655534.95057322702</v>
          </cell>
          <cell r="W81">
            <v>637111.60144566628</v>
          </cell>
          <cell r="X81">
            <v>624630.92244216194</v>
          </cell>
          <cell r="Y81">
            <v>601103.42928001995</v>
          </cell>
          <cell r="Z81">
            <v>583449.38612394244</v>
          </cell>
          <cell r="AA81">
            <v>565997.72271073016</v>
          </cell>
          <cell r="AB81">
            <v>553823.1943250458</v>
          </cell>
          <cell r="AC81">
            <v>531773.35758124199</v>
          </cell>
          <cell r="AD81">
            <v>514944.55152005563</v>
          </cell>
          <cell r="AE81">
            <v>498286.13824063755</v>
          </cell>
        </row>
        <row r="82">
          <cell r="G82" t="str">
            <v>RegionSugarStock</v>
          </cell>
          <cell r="H82" t="str">
            <v>Ind</v>
          </cell>
          <cell r="I82" t="str">
            <v>Sugar</v>
          </cell>
          <cell r="J82" t="str">
            <v>Stock</v>
          </cell>
          <cell r="K82" t="str">
            <v>Consumption (MWh)</v>
          </cell>
          <cell r="L82">
            <v>475136.72478012781</v>
          </cell>
          <cell r="M82">
            <v>478944.05758966133</v>
          </cell>
          <cell r="N82">
            <v>486819.48116772674</v>
          </cell>
          <cell r="O82">
            <v>494591.38634116278</v>
          </cell>
          <cell r="P82">
            <v>506508.14130214165</v>
          </cell>
          <cell r="Q82">
            <v>510023.29432266601</v>
          </cell>
          <cell r="R82">
            <v>517787.90058012598</v>
          </cell>
          <cell r="S82">
            <v>525332.27094640187</v>
          </cell>
          <cell r="T82">
            <v>532962.59651115292</v>
          </cell>
          <cell r="U82">
            <v>540559.14188859914</v>
          </cell>
          <cell r="V82">
            <v>548264.64271890977</v>
          </cell>
          <cell r="W82">
            <v>555867.220442908</v>
          </cell>
          <cell r="X82">
            <v>568632.32789277437</v>
          </cell>
          <cell r="Y82">
            <v>571112.91942260799</v>
          </cell>
          <cell r="Z82">
            <v>578836.54771749349</v>
          </cell>
          <cell r="AA82">
            <v>586399.91803551139</v>
          </cell>
          <cell r="AB82">
            <v>599561.512214605</v>
          </cell>
          <cell r="AC82">
            <v>601661.01637638209</v>
          </cell>
          <cell r="AD82">
            <v>609371.99258243595</v>
          </cell>
          <cell r="AE82">
            <v>616906.35518594901</v>
          </cell>
        </row>
        <row r="83">
          <cell r="G83" t="str">
            <v>RegionHi Tech - Chip FabStock</v>
          </cell>
          <cell r="H83" t="str">
            <v>Ind</v>
          </cell>
          <cell r="I83" t="str">
            <v>Hi Tech - Chip Fab</v>
          </cell>
          <cell r="J83" t="str">
            <v>Stock</v>
          </cell>
          <cell r="K83" t="str">
            <v>Consumption (MWh)</v>
          </cell>
          <cell r="L83">
            <v>441794.88875823218</v>
          </cell>
          <cell r="M83">
            <v>432626.39847364998</v>
          </cell>
          <cell r="N83">
            <v>427242.98054352769</v>
          </cell>
          <cell r="O83">
            <v>422213.82213962206</v>
          </cell>
          <cell r="P83">
            <v>421920.64066734893</v>
          </cell>
          <cell r="Q83">
            <v>413709.06623231358</v>
          </cell>
          <cell r="R83">
            <v>410212.7518948018</v>
          </cell>
          <cell r="S83">
            <v>406355.09832970693</v>
          </cell>
          <cell r="T83">
            <v>403296.23418868397</v>
          </cell>
          <cell r="U83">
            <v>399924.4240136806</v>
          </cell>
          <cell r="V83">
            <v>397295.90252843429</v>
          </cell>
          <cell r="W83">
            <v>394316.89382121537</v>
          </cell>
          <cell r="X83">
            <v>395623.44895442144</v>
          </cell>
          <cell r="Y83">
            <v>389392.69605832879</v>
          </cell>
          <cell r="Z83">
            <v>386892.14662184619</v>
          </cell>
          <cell r="AA83">
            <v>385025.31464219192</v>
          </cell>
          <cell r="AB83">
            <v>386311.31539104413</v>
          </cell>
          <cell r="AC83">
            <v>381213.1101798673</v>
          </cell>
          <cell r="AD83">
            <v>379233.88825255015</v>
          </cell>
          <cell r="AE83">
            <v>377804.18623239076</v>
          </cell>
        </row>
        <row r="84">
          <cell r="G84" t="str">
            <v>RegionHi Tech - SiliconStock</v>
          </cell>
          <cell r="H84" t="str">
            <v>Ind</v>
          </cell>
          <cell r="I84" t="str">
            <v>Hi Tech - Silicon</v>
          </cell>
          <cell r="J84" t="str">
            <v>Stock</v>
          </cell>
          <cell r="K84" t="str">
            <v>Consumption (MWh)</v>
          </cell>
          <cell r="L84">
            <v>226900.615461001</v>
          </cell>
          <cell r="M84">
            <v>224036.45332402681</v>
          </cell>
          <cell r="N84">
            <v>223197.60670939417</v>
          </cell>
          <cell r="O84">
            <v>222435.67348639047</v>
          </cell>
          <cell r="P84">
            <v>223898.4301459378</v>
          </cell>
          <cell r="Q84">
            <v>221368.38696638378</v>
          </cell>
          <cell r="R84">
            <v>221129.95798393188</v>
          </cell>
          <cell r="S84">
            <v>220786.11584318019</v>
          </cell>
          <cell r="T84">
            <v>220661.22741685802</v>
          </cell>
          <cell r="U84">
            <v>220514.6104276102</v>
          </cell>
          <cell r="V84">
            <v>220566.57724116242</v>
          </cell>
          <cell r="W84">
            <v>220582.85570889112</v>
          </cell>
          <cell r="X84">
            <v>222786.93799954746</v>
          </cell>
          <cell r="Y84">
            <v>220925.37261965938</v>
          </cell>
          <cell r="Z84">
            <v>221135.24104542725</v>
          </cell>
          <cell r="AA84">
            <v>221470.75488217658</v>
          </cell>
          <cell r="AB84">
            <v>223814.68962733069</v>
          </cell>
          <cell r="AC84">
            <v>222220.65723257174</v>
          </cell>
          <cell r="AD84">
            <v>222629.30420924808</v>
          </cell>
          <cell r="AE84">
            <v>223146.84657001842</v>
          </cell>
        </row>
        <row r="85">
          <cell r="G85" t="str">
            <v>RegionMetal FabStock</v>
          </cell>
          <cell r="H85" t="str">
            <v>Ind</v>
          </cell>
          <cell r="I85" t="str">
            <v>Metal Fab</v>
          </cell>
          <cell r="J85" t="str">
            <v>Stock</v>
          </cell>
          <cell r="K85" t="str">
            <v>Consumption (MWh)</v>
          </cell>
          <cell r="L85">
            <v>909892.68701188185</v>
          </cell>
          <cell r="M85">
            <v>891825.25809582323</v>
          </cell>
          <cell r="N85">
            <v>882508.80442902481</v>
          </cell>
          <cell r="O85">
            <v>873727.53576770169</v>
          </cell>
          <cell r="P85">
            <v>873074.20336348354</v>
          </cell>
          <cell r="Q85">
            <v>857353.78829031112</v>
          </cell>
          <cell r="R85">
            <v>849920.96028251934</v>
          </cell>
          <cell r="S85">
            <v>842747.12140389089</v>
          </cell>
          <cell r="T85">
            <v>835992.11174095876</v>
          </cell>
          <cell r="U85">
            <v>829585.10375461576</v>
          </cell>
          <cell r="V85">
            <v>823489.91083828453</v>
          </cell>
          <cell r="W85">
            <v>817657.03435069101</v>
          </cell>
          <cell r="X85">
            <v>819465.35455238761</v>
          </cell>
          <cell r="Y85">
            <v>806647.75437978934</v>
          </cell>
          <cell r="Z85">
            <v>801457.62846863491</v>
          </cell>
          <cell r="AA85">
            <v>796415.70090358355</v>
          </cell>
          <cell r="AB85">
            <v>798860.24754177267</v>
          </cell>
          <cell r="AC85">
            <v>786961.84080937004</v>
          </cell>
          <cell r="AD85">
            <v>782499.53998716734</v>
          </cell>
          <cell r="AE85">
            <v>778123.72130174015</v>
          </cell>
        </row>
        <row r="86">
          <cell r="G86" t="str">
            <v>RegionTransportation, EquipStock</v>
          </cell>
          <cell r="H86" t="str">
            <v>Ind</v>
          </cell>
          <cell r="I86" t="str">
            <v>Transportation, Equip</v>
          </cell>
          <cell r="J86" t="str">
            <v>Stock</v>
          </cell>
          <cell r="K86" t="str">
            <v>Consumption (MWh)</v>
          </cell>
          <cell r="L86">
            <v>1804273.4320914866</v>
          </cell>
          <cell r="M86">
            <v>1764444.7092744687</v>
          </cell>
          <cell r="N86">
            <v>1742380.5060862801</v>
          </cell>
          <cell r="O86">
            <v>1721734.2919262978</v>
          </cell>
          <cell r="P86">
            <v>1717290.0100661237</v>
          </cell>
          <cell r="Q86">
            <v>1684212.3577429946</v>
          </cell>
          <cell r="R86">
            <v>1667572.9872876552</v>
          </cell>
          <cell r="S86">
            <v>1651915.7655637239</v>
          </cell>
          <cell r="T86">
            <v>1637404.0605393937</v>
          </cell>
          <cell r="U86">
            <v>1624039.8539685637</v>
          </cell>
          <cell r="V86">
            <v>1611571.7582730576</v>
          </cell>
          <cell r="W86">
            <v>1599938.1807304013</v>
          </cell>
          <cell r="X86">
            <v>1603782.6234504275</v>
          </cell>
          <cell r="Y86">
            <v>1579189.4507664458</v>
          </cell>
          <cell r="Z86">
            <v>1569848.0280781442</v>
          </cell>
          <cell r="AA86">
            <v>1560977.4194455137</v>
          </cell>
          <cell r="AB86">
            <v>1566945.462049291</v>
          </cell>
          <cell r="AC86">
            <v>1545218.7396206472</v>
          </cell>
          <cell r="AD86">
            <v>1538099.8647244556</v>
          </cell>
          <cell r="AE86">
            <v>1531589.7574381533</v>
          </cell>
        </row>
        <row r="87">
          <cell r="G87" t="str">
            <v>RegionRefineryStock</v>
          </cell>
          <cell r="H87" t="str">
            <v>Ind</v>
          </cell>
          <cell r="I87" t="str">
            <v>Refinery</v>
          </cell>
          <cell r="J87" t="str">
            <v>Stock</v>
          </cell>
          <cell r="K87" t="str">
            <v>Consumption (MWh)</v>
          </cell>
          <cell r="L87">
            <v>1881024.91962965</v>
          </cell>
          <cell r="M87">
            <v>1909117.5467978129</v>
          </cell>
          <cell r="N87">
            <v>1951995.6132668965</v>
          </cell>
          <cell r="O87">
            <v>1997111.8831124087</v>
          </cell>
          <cell r="P87">
            <v>2057483.6301056999</v>
          </cell>
          <cell r="Q87">
            <v>2084336.8416466711</v>
          </cell>
          <cell r="R87">
            <v>2127809.677560756</v>
          </cell>
          <cell r="S87">
            <v>2172413.8365607024</v>
          </cell>
          <cell r="T87">
            <v>2215960.2386478884</v>
          </cell>
          <cell r="U87">
            <v>2261195.6605773838</v>
          </cell>
          <cell r="V87">
            <v>2305708.6406222372</v>
          </cell>
          <cell r="W87">
            <v>2351421.030442731</v>
          </cell>
          <cell r="X87">
            <v>2417809.3733545281</v>
          </cell>
          <cell r="Y87">
            <v>2441973.3932293397</v>
          </cell>
          <cell r="Z87">
            <v>2486737.3300964865</v>
          </cell>
          <cell r="AA87">
            <v>2532907.6529900534</v>
          </cell>
          <cell r="AB87">
            <v>2601624.7146502738</v>
          </cell>
          <cell r="AC87">
            <v>2625012.9439967307</v>
          </cell>
          <cell r="AD87">
            <v>2670463.7864335729</v>
          </cell>
          <cell r="AE87">
            <v>2717337.6347862268</v>
          </cell>
        </row>
        <row r="88">
          <cell r="G88" t="str">
            <v>RegionCold StorageStock</v>
          </cell>
          <cell r="H88" t="str">
            <v>Ind</v>
          </cell>
          <cell r="I88" t="str">
            <v>Cold Storage</v>
          </cell>
          <cell r="J88" t="str">
            <v>Stock</v>
          </cell>
          <cell r="K88" t="str">
            <v>Consumption (MWh)</v>
          </cell>
          <cell r="L88">
            <v>78154.236827670538</v>
          </cell>
          <cell r="M88">
            <v>79453.458629044515</v>
          </cell>
          <cell r="N88">
            <v>81462.364882615439</v>
          </cell>
          <cell r="O88">
            <v>83477.500671992908</v>
          </cell>
          <cell r="P88">
            <v>86245.581369176958</v>
          </cell>
          <cell r="Q88">
            <v>87478.747599680457</v>
          </cell>
          <cell r="R88">
            <v>89494.311122657688</v>
          </cell>
          <cell r="S88">
            <v>91509.020390414968</v>
          </cell>
          <cell r="T88">
            <v>93532.504764969955</v>
          </cell>
          <cell r="U88">
            <v>95564.382084683428</v>
          </cell>
          <cell r="V88">
            <v>97600.983939128768</v>
          </cell>
          <cell r="W88">
            <v>99644.634467322845</v>
          </cell>
          <cell r="X88">
            <v>102618.3524040958</v>
          </cell>
          <cell r="Y88">
            <v>103741.81616097505</v>
          </cell>
          <cell r="Z88">
            <v>105788.43696882724</v>
          </cell>
          <cell r="AA88">
            <v>107838.05913011087</v>
          </cell>
          <cell r="AB88">
            <v>110898.73263363529</v>
          </cell>
          <cell r="AC88">
            <v>111951.72686476028</v>
          </cell>
          <cell r="AD88">
            <v>114014.96377503965</v>
          </cell>
          <cell r="AE88">
            <v>116079.01640209509</v>
          </cell>
        </row>
        <row r="89">
          <cell r="G89" t="str">
            <v>RegionFruit StorageStock</v>
          </cell>
          <cell r="H89" t="str">
            <v>Ind</v>
          </cell>
          <cell r="I89" t="str">
            <v>Fruit Storage</v>
          </cell>
          <cell r="J89" t="str">
            <v>Stock</v>
          </cell>
          <cell r="K89" t="str">
            <v>Consumption (MWh)</v>
          </cell>
          <cell r="L89">
            <v>199395.43790713095</v>
          </cell>
          <cell r="M89">
            <v>204115.10690708214</v>
          </cell>
          <cell r="N89">
            <v>210634.84781997796</v>
          </cell>
          <cell r="O89">
            <v>217141.49063609194</v>
          </cell>
          <cell r="P89">
            <v>225683.75101923331</v>
          </cell>
          <cell r="Q89">
            <v>230234.36323329096</v>
          </cell>
          <cell r="R89">
            <v>236796.95219371072</v>
          </cell>
          <cell r="S89">
            <v>243349.21918638356</v>
          </cell>
          <cell r="T89">
            <v>249921.80671927828</v>
          </cell>
          <cell r="U89">
            <v>256506.98239189648</v>
          </cell>
          <cell r="V89">
            <v>263096.35269472009</v>
          </cell>
          <cell r="W89">
            <v>269693.66215315415</v>
          </cell>
          <cell r="X89">
            <v>278797.26062516763</v>
          </cell>
          <cell r="Y89">
            <v>282842.82237701409</v>
          </cell>
          <cell r="Z89">
            <v>289419.35664982459</v>
          </cell>
          <cell r="AA89">
            <v>295994.31165490975</v>
          </cell>
          <cell r="AB89">
            <v>305366.03036291245</v>
          </cell>
          <cell r="AC89">
            <v>309179.84460456396</v>
          </cell>
          <cell r="AD89">
            <v>315794.71629056305</v>
          </cell>
          <cell r="AE89">
            <v>322364.98084319307</v>
          </cell>
        </row>
        <row r="90">
          <cell r="G90" t="str">
            <v>RegionChemicalStock</v>
          </cell>
          <cell r="H90" t="str">
            <v>Ind</v>
          </cell>
          <cell r="I90" t="str">
            <v>Chemical</v>
          </cell>
          <cell r="J90" t="str">
            <v>Stock</v>
          </cell>
          <cell r="K90" t="str">
            <v>Consumption (MWh)</v>
          </cell>
          <cell r="L90">
            <v>3305004.1605836996</v>
          </cell>
          <cell r="M90">
            <v>3443789.6934345411</v>
          </cell>
          <cell r="N90">
            <v>3609021.9884613133</v>
          </cell>
          <cell r="O90">
            <v>3771046.7677251906</v>
          </cell>
          <cell r="P90">
            <v>3927253.9609524435</v>
          </cell>
          <cell r="Q90">
            <v>4037395.7085911199</v>
          </cell>
          <cell r="R90">
            <v>4188643.2636367837</v>
          </cell>
          <cell r="S90">
            <v>4340984.9755713558</v>
          </cell>
          <cell r="T90">
            <v>4493975.9194887662</v>
          </cell>
          <cell r="U90">
            <v>4646018.0745007796</v>
          </cell>
          <cell r="V90">
            <v>4797371.3042631764</v>
          </cell>
          <cell r="W90">
            <v>4947813.7264089147</v>
          </cell>
          <cell r="X90">
            <v>5144107.7969676936</v>
          </cell>
          <cell r="Y90">
            <v>5246402.7802377427</v>
          </cell>
          <cell r="Z90">
            <v>5394857.0622515492</v>
          </cell>
          <cell r="AA90">
            <v>5541714.6108995685</v>
          </cell>
          <cell r="AB90">
            <v>5740442.2061493713</v>
          </cell>
          <cell r="AC90">
            <v>5833788.3063517585</v>
          </cell>
          <cell r="AD90">
            <v>5979638.453419812</v>
          </cell>
          <cell r="AE90">
            <v>6123880.4660364473</v>
          </cell>
        </row>
        <row r="91">
          <cell r="G91" t="str">
            <v>RegionMisc ManfStock</v>
          </cell>
          <cell r="H91" t="str">
            <v>Ind</v>
          </cell>
          <cell r="I91" t="str">
            <v>Misc Manf</v>
          </cell>
          <cell r="J91" t="str">
            <v>Stock</v>
          </cell>
          <cell r="K91" t="str">
            <v>Consumption (MWh)</v>
          </cell>
          <cell r="L91">
            <v>4209556.472488177</v>
          </cell>
          <cell r="M91">
            <v>4334633.1165770665</v>
          </cell>
          <cell r="N91">
            <v>4496807.6122477548</v>
          </cell>
          <cell r="O91">
            <v>4658950.5636732625</v>
          </cell>
          <cell r="P91">
            <v>4833902.8390341504</v>
          </cell>
          <cell r="Q91">
            <v>4939547.3871582579</v>
          </cell>
          <cell r="R91">
            <v>5095859.5790590979</v>
          </cell>
          <cell r="S91">
            <v>5254063.1713875132</v>
          </cell>
          <cell r="T91">
            <v>5413802.5084346561</v>
          </cell>
          <cell r="U91">
            <v>5573463.6928148605</v>
          </cell>
          <cell r="V91">
            <v>5733797.7617043415</v>
          </cell>
          <cell r="W91">
            <v>5893374.3310838528</v>
          </cell>
          <cell r="X91">
            <v>6108755.4059702102</v>
          </cell>
          <cell r="Y91">
            <v>6213044.4648437528</v>
          </cell>
          <cell r="Z91">
            <v>6372313.332896472</v>
          </cell>
          <cell r="AA91">
            <v>6531884.2745853113</v>
          </cell>
          <cell r="AB91">
            <v>6752077.3183153793</v>
          </cell>
          <cell r="AC91">
            <v>6850327.3548128605</v>
          </cell>
          <cell r="AD91">
            <v>7009692.065473482</v>
          </cell>
          <cell r="AE91">
            <v>7168736.8179728845</v>
          </cell>
        </row>
        <row r="92">
          <cell r="G92" t="str">
            <v>RegionEVStock</v>
          </cell>
          <cell r="H92" t="str">
            <v>EV</v>
          </cell>
          <cell r="I92" t="str">
            <v>EV</v>
          </cell>
          <cell r="J92" t="str">
            <v>Stock</v>
          </cell>
          <cell r="K92" t="str">
            <v>1000 Cars</v>
          </cell>
          <cell r="L92">
            <v>60.183986956923889</v>
          </cell>
          <cell r="M92">
            <v>91.985039267783762</v>
          </cell>
          <cell r="N92">
            <v>131.71899349682545</v>
          </cell>
          <cell r="O92">
            <v>179.31931215654896</v>
          </cell>
          <cell r="P92">
            <v>234.46894197990883</v>
          </cell>
          <cell r="Q92">
            <v>296.9378027583823</v>
          </cell>
          <cell r="R92">
            <v>366.00059330503768</v>
          </cell>
          <cell r="S92">
            <v>441.25939468635204</v>
          </cell>
          <cell r="T92">
            <v>522.62506581198477</v>
          </cell>
          <cell r="U92">
            <v>610.52396116716261</v>
          </cell>
          <cell r="V92">
            <v>705.01906985870437</v>
          </cell>
          <cell r="W92">
            <v>801.72374571842784</v>
          </cell>
          <cell r="X92">
            <v>899.84995621451503</v>
          </cell>
          <cell r="Y92">
            <v>998.49290967026104</v>
          </cell>
          <cell r="Z92">
            <v>1096.4275699987345</v>
          </cell>
          <cell r="AA92">
            <v>1187.7661760902763</v>
          </cell>
          <cell r="AB92">
            <v>1272.9815546454543</v>
          </cell>
          <cell r="AC92">
            <v>1351.8588013409089</v>
          </cell>
          <cell r="AD92">
            <v>1433.0587465545455</v>
          </cell>
          <cell r="AE92">
            <v>1500.0488473772725</v>
          </cell>
        </row>
        <row r="93">
          <cell r="G93" t="str">
            <v>RegionPopStock</v>
          </cell>
          <cell r="H93" t="str">
            <v>Pop</v>
          </cell>
          <cell r="I93" t="str">
            <v>Pop</v>
          </cell>
          <cell r="J93" t="str">
            <v>Stock</v>
          </cell>
          <cell r="K93" t="str">
            <v># of people</v>
          </cell>
          <cell r="L93">
            <v>13520.68111</v>
          </cell>
          <cell r="M93">
            <v>13661.840299999998</v>
          </cell>
          <cell r="N93">
            <v>13803.691440000001</v>
          </cell>
          <cell r="O93">
            <v>13944.276469999999</v>
          </cell>
          <cell r="P93">
            <v>14082.801340000002</v>
          </cell>
          <cell r="Q93">
            <v>14218.715590000002</v>
          </cell>
          <cell r="R93">
            <v>14351.918940000001</v>
          </cell>
          <cell r="S93">
            <v>14482.437540000003</v>
          </cell>
          <cell r="T93">
            <v>14610.4211</v>
          </cell>
          <cell r="U93">
            <v>14736.24631</v>
          </cell>
          <cell r="V93">
            <v>14860.320880000001</v>
          </cell>
          <cell r="W93">
            <v>14983.078860000001</v>
          </cell>
          <cell r="X93">
            <v>15104.70127</v>
          </cell>
          <cell r="Y93">
            <v>15225.195700000002</v>
          </cell>
          <cell r="Z93">
            <v>15344.62486</v>
          </cell>
          <cell r="AA93">
            <v>15463.089019999998</v>
          </cell>
          <cell r="AB93">
            <v>15580.68845</v>
          </cell>
          <cell r="AC93">
            <v>15697.50913</v>
          </cell>
          <cell r="AD93">
            <v>15813.626329999999</v>
          </cell>
          <cell r="AE93">
            <v>15929.254489999999</v>
          </cell>
        </row>
      </sheetData>
      <sheetData sheetId="2">
        <row r="3">
          <cell r="H3">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row>
        <row r="56">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row>
        <row r="57">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20">
          <cell r="AB20">
            <v>685191.00450982037</v>
          </cell>
          <cell r="AC20">
            <v>596548.20473881776</v>
          </cell>
          <cell r="AD20">
            <v>483938.3798507941</v>
          </cell>
          <cell r="AE20">
            <v>527033.92175409861</v>
          </cell>
        </row>
        <row r="21">
          <cell r="AB21">
            <v>943682.68088198837</v>
          </cell>
          <cell r="AC21">
            <v>830208.88036835718</v>
          </cell>
          <cell r="AD21">
            <v>753930.23870589386</v>
          </cell>
          <cell r="AE21">
            <v>871080.35247744701</v>
          </cell>
        </row>
        <row r="22">
          <cell r="AB22">
            <v>565159.94287564873</v>
          </cell>
          <cell r="AC22">
            <v>558970.60872925993</v>
          </cell>
          <cell r="AD22">
            <v>572259.98185306403</v>
          </cell>
          <cell r="AE22">
            <v>556708.83725918015</v>
          </cell>
        </row>
        <row r="23">
          <cell r="AB23">
            <v>648754.53580453689</v>
          </cell>
          <cell r="AC23">
            <v>643800.41382252518</v>
          </cell>
          <cell r="AD23">
            <v>507081.04742742633</v>
          </cell>
          <cell r="AE23">
            <v>592950.14079819003</v>
          </cell>
        </row>
        <row r="24">
          <cell r="AB24">
            <v>286936.01310143375</v>
          </cell>
          <cell r="AC24">
            <v>288736.67150064075</v>
          </cell>
          <cell r="AD24">
            <v>274702.99513519771</v>
          </cell>
          <cell r="AE24">
            <v>302553.93400074064</v>
          </cell>
        </row>
        <row r="25">
          <cell r="AB25">
            <v>937394.72117731895</v>
          </cell>
          <cell r="AC25">
            <v>912080.37477960833</v>
          </cell>
          <cell r="AD25">
            <v>794727.87315070676</v>
          </cell>
          <cell r="AE25">
            <v>915980.80462188413</v>
          </cell>
        </row>
        <row r="26">
          <cell r="AB26">
            <v>2058089.550569477</v>
          </cell>
          <cell r="AC26">
            <v>1844519.6631027595</v>
          </cell>
          <cell r="AD26">
            <v>1808370.9297799692</v>
          </cell>
          <cell r="AE26">
            <v>1928192.5544098606</v>
          </cell>
        </row>
        <row r="27">
          <cell r="AB27">
            <v>1554881.3979650601</v>
          </cell>
          <cell r="AC27">
            <v>1634169.8108176619</v>
          </cell>
          <cell r="AD27">
            <v>1759674.7863607961</v>
          </cell>
          <cell r="AE27">
            <v>2076094.7759013497</v>
          </cell>
        </row>
        <row r="28">
          <cell r="AB28">
            <v>63433.426931604743</v>
          </cell>
          <cell r="AC28">
            <v>66425.748379317301</v>
          </cell>
          <cell r="AD28">
            <v>79151.326502888085</v>
          </cell>
          <cell r="AE28">
            <v>85845.446431490171</v>
          </cell>
        </row>
        <row r="29">
          <cell r="AB29">
            <v>190153.07686218477</v>
          </cell>
          <cell r="AC29">
            <v>187038.28744679055</v>
          </cell>
          <cell r="AD29">
            <v>191274.05068698598</v>
          </cell>
          <cell r="AE29">
            <v>191883.99555047645</v>
          </cell>
        </row>
        <row r="30">
          <cell r="AB30">
            <v>3238398.687584531</v>
          </cell>
          <cell r="AC30">
            <v>3213218.0296330545</v>
          </cell>
          <cell r="AD30">
            <v>3135340.9792414741</v>
          </cell>
          <cell r="AE30">
            <v>3367867.7846948942</v>
          </cell>
        </row>
        <row r="31">
          <cell r="AB31">
            <v>3921798.3362258212</v>
          </cell>
          <cell r="AC31">
            <v>3926905.9078965583</v>
          </cell>
          <cell r="AD31">
            <v>3966158.185490815</v>
          </cell>
          <cell r="AE31">
            <v>4341994.2565287473</v>
          </cell>
        </row>
        <row r="32">
          <cell r="AB32">
            <v>31549091.228681069</v>
          </cell>
          <cell r="AC32">
            <v>31194730.502038229</v>
          </cell>
          <cell r="AD32">
            <v>31505102.105258308</v>
          </cell>
          <cell r="AE32">
            <v>33927719.7277923</v>
          </cell>
        </row>
      </sheetData>
      <sheetData sheetId="10">
        <row r="20">
          <cell r="AB20">
            <v>685191.00450982037</v>
          </cell>
          <cell r="AC20">
            <v>596548.20473881776</v>
          </cell>
          <cell r="AD20">
            <v>483938.3798507941</v>
          </cell>
          <cell r="AE20">
            <v>527033.92175409861</v>
          </cell>
        </row>
        <row r="21">
          <cell r="AB21">
            <v>943682.68088198837</v>
          </cell>
          <cell r="AC21">
            <v>830208.88036835718</v>
          </cell>
          <cell r="AD21">
            <v>753930.23870589386</v>
          </cell>
          <cell r="AE21">
            <v>871080.35247744701</v>
          </cell>
        </row>
        <row r="22">
          <cell r="AB22">
            <v>565159.94287564873</v>
          </cell>
          <cell r="AC22">
            <v>558970.60872925993</v>
          </cell>
          <cell r="AD22">
            <v>572259.98185306403</v>
          </cell>
          <cell r="AE22">
            <v>556708.83725918015</v>
          </cell>
        </row>
        <row r="23">
          <cell r="AB23">
            <v>648754.53580453689</v>
          </cell>
          <cell r="AC23">
            <v>643800.41382252518</v>
          </cell>
          <cell r="AD23">
            <v>507081.04742742633</v>
          </cell>
          <cell r="AE23">
            <v>592950.14079819003</v>
          </cell>
        </row>
        <row r="24">
          <cell r="AB24">
            <v>286936.01310143375</v>
          </cell>
          <cell r="AC24">
            <v>288736.67150064075</v>
          </cell>
          <cell r="AD24">
            <v>274702.99513519771</v>
          </cell>
          <cell r="AE24">
            <v>302553.93400074064</v>
          </cell>
        </row>
        <row r="25">
          <cell r="AB25">
            <v>937394.72117731895</v>
          </cell>
          <cell r="AC25">
            <v>912080.37477960833</v>
          </cell>
          <cell r="AD25">
            <v>794727.87315070676</v>
          </cell>
          <cell r="AE25">
            <v>915980.80462188413</v>
          </cell>
        </row>
        <row r="26">
          <cell r="AB26">
            <v>2058089.550569477</v>
          </cell>
          <cell r="AC26">
            <v>1844519.6631027595</v>
          </cell>
          <cell r="AD26">
            <v>1808370.9297799692</v>
          </cell>
          <cell r="AE26">
            <v>1928192.5544098606</v>
          </cell>
        </row>
        <row r="27">
          <cell r="AB27">
            <v>1554881.3979650601</v>
          </cell>
          <cell r="AC27">
            <v>1634169.8108176619</v>
          </cell>
          <cell r="AD27">
            <v>1759674.7863607961</v>
          </cell>
          <cell r="AE27">
            <v>2076094.7759013497</v>
          </cell>
        </row>
        <row r="28">
          <cell r="AB28">
            <v>63433.426931604743</v>
          </cell>
          <cell r="AC28">
            <v>66425.748379317301</v>
          </cell>
          <cell r="AD28">
            <v>79151.326502888085</v>
          </cell>
          <cell r="AE28">
            <v>85845.446431490171</v>
          </cell>
        </row>
        <row r="29">
          <cell r="AB29">
            <v>190153.07686218477</v>
          </cell>
          <cell r="AC29">
            <v>187038.28744679055</v>
          </cell>
          <cell r="AD29">
            <v>191274.05068698598</v>
          </cell>
          <cell r="AE29">
            <v>191883.99555047645</v>
          </cell>
        </row>
        <row r="30">
          <cell r="AB30">
            <v>3238398.687584531</v>
          </cell>
          <cell r="AC30">
            <v>3213218.0296330545</v>
          </cell>
          <cell r="AD30">
            <v>3135340.9792414741</v>
          </cell>
          <cell r="AE30">
            <v>3367867.7846948942</v>
          </cell>
        </row>
        <row r="31">
          <cell r="AB31">
            <v>3921798.3362258212</v>
          </cell>
          <cell r="AC31">
            <v>3926905.9078965583</v>
          </cell>
          <cell r="AD31">
            <v>3966158.185490815</v>
          </cell>
          <cell r="AE31">
            <v>4341994.2565287473</v>
          </cell>
        </row>
        <row r="32">
          <cell r="AB32">
            <v>31549091.228681069</v>
          </cell>
          <cell r="AC32">
            <v>31194730.502038229</v>
          </cell>
          <cell r="AD32">
            <v>31505102.105258308</v>
          </cell>
          <cell r="AE32">
            <v>33927719.7277923</v>
          </cell>
        </row>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1">
        <row r="20">
          <cell r="AB20">
            <v>685191.00450982037</v>
          </cell>
          <cell r="AC20">
            <v>596548.20473881776</v>
          </cell>
          <cell r="AD20">
            <v>483938.3798507941</v>
          </cell>
          <cell r="AE20">
            <v>527033.92175409861</v>
          </cell>
        </row>
        <row r="21">
          <cell r="AB21">
            <v>943682.68088198837</v>
          </cell>
          <cell r="AC21">
            <v>830208.88036835718</v>
          </cell>
          <cell r="AD21">
            <v>753930.23870589386</v>
          </cell>
          <cell r="AE21">
            <v>871080.35247744701</v>
          </cell>
        </row>
        <row r="22">
          <cell r="AB22">
            <v>565159.94287564873</v>
          </cell>
          <cell r="AC22">
            <v>558970.60872925993</v>
          </cell>
          <cell r="AD22">
            <v>572259.98185306403</v>
          </cell>
          <cell r="AE22">
            <v>556708.83725918015</v>
          </cell>
        </row>
        <row r="23">
          <cell r="AB23">
            <v>648754.53580453689</v>
          </cell>
          <cell r="AC23">
            <v>643800.41382252518</v>
          </cell>
          <cell r="AD23">
            <v>507081.04742742633</v>
          </cell>
          <cell r="AE23">
            <v>592950.14079819003</v>
          </cell>
        </row>
        <row r="24">
          <cell r="AB24">
            <v>286936.01310143375</v>
          </cell>
          <cell r="AC24">
            <v>288736.67150064075</v>
          </cell>
          <cell r="AD24">
            <v>274702.99513519771</v>
          </cell>
          <cell r="AE24">
            <v>302553.93400074064</v>
          </cell>
        </row>
        <row r="25">
          <cell r="AB25">
            <v>937394.72117731895</v>
          </cell>
          <cell r="AC25">
            <v>912080.37477960833</v>
          </cell>
          <cell r="AD25">
            <v>794727.87315070676</v>
          </cell>
          <cell r="AE25">
            <v>915980.80462188413</v>
          </cell>
        </row>
        <row r="26">
          <cell r="AB26">
            <v>2058089.550569477</v>
          </cell>
          <cell r="AC26">
            <v>1844519.6631027595</v>
          </cell>
          <cell r="AD26">
            <v>1808370.9297799692</v>
          </cell>
          <cell r="AE26">
            <v>1928192.5544098606</v>
          </cell>
        </row>
        <row r="27">
          <cell r="AB27">
            <v>1554881.3979650601</v>
          </cell>
          <cell r="AC27">
            <v>1634169.8108176619</v>
          </cell>
          <cell r="AD27">
            <v>1759674.7863607961</v>
          </cell>
          <cell r="AE27">
            <v>2076094.7759013497</v>
          </cell>
        </row>
        <row r="28">
          <cell r="AB28">
            <v>63433.426931604743</v>
          </cell>
          <cell r="AC28">
            <v>66425.748379317301</v>
          </cell>
          <cell r="AD28">
            <v>79151.326502888085</v>
          </cell>
          <cell r="AE28">
            <v>85845.446431490171</v>
          </cell>
        </row>
        <row r="29">
          <cell r="AB29">
            <v>190153.07686218477</v>
          </cell>
          <cell r="AC29">
            <v>187038.28744679055</v>
          </cell>
          <cell r="AD29">
            <v>191274.05068698598</v>
          </cell>
          <cell r="AE29">
            <v>191883.99555047645</v>
          </cell>
        </row>
        <row r="30">
          <cell r="AB30">
            <v>3238398.687584531</v>
          </cell>
          <cell r="AC30">
            <v>3213218.0296330545</v>
          </cell>
          <cell r="AD30">
            <v>3135340.9792414741</v>
          </cell>
          <cell r="AE30">
            <v>3367867.7846948942</v>
          </cell>
        </row>
        <row r="31">
          <cell r="AB31">
            <v>3921798.3362258212</v>
          </cell>
          <cell r="AC31">
            <v>3926905.9078965583</v>
          </cell>
          <cell r="AD31">
            <v>3966158.185490815</v>
          </cell>
          <cell r="AE31">
            <v>4341994.2565287473</v>
          </cell>
        </row>
        <row r="32">
          <cell r="AB32">
            <v>31549091.228681069</v>
          </cell>
          <cell r="AC32">
            <v>31194730.502038229</v>
          </cell>
          <cell r="AD32">
            <v>31505102.105258308</v>
          </cell>
          <cell r="AE32">
            <v>33927719.7277923</v>
          </cell>
        </row>
      </sheetData>
      <sheetData sheetId="12">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row r="25">
          <cell r="G25">
            <v>1988</v>
          </cell>
          <cell r="H25">
            <v>1989</v>
          </cell>
          <cell r="I25">
            <v>1990</v>
          </cell>
          <cell r="J25">
            <v>1991</v>
          </cell>
          <cell r="K25">
            <v>1992</v>
          </cell>
          <cell r="L25">
            <v>1993</v>
          </cell>
          <cell r="M25">
            <v>1994</v>
          </cell>
          <cell r="N25">
            <v>1995</v>
          </cell>
          <cell r="O25">
            <v>1996</v>
          </cell>
          <cell r="P25">
            <v>1997</v>
          </cell>
          <cell r="Q25">
            <v>1998</v>
          </cell>
          <cell r="R25">
            <v>1999</v>
          </cell>
          <cell r="S25">
            <v>2000</v>
          </cell>
          <cell r="T25">
            <v>2001</v>
          </cell>
          <cell r="U25">
            <v>2002</v>
          </cell>
          <cell r="V25">
            <v>2003</v>
          </cell>
          <cell r="W25">
            <v>2004</v>
          </cell>
          <cell r="X25">
            <v>2005</v>
          </cell>
          <cell r="Y25">
            <v>2006</v>
          </cell>
          <cell r="Z25">
            <v>2007</v>
          </cell>
          <cell r="AA25">
            <v>2008</v>
          </cell>
          <cell r="AB25">
            <v>2009</v>
          </cell>
          <cell r="AC25">
            <v>2010</v>
          </cell>
          <cell r="AD25">
            <v>2011</v>
          </cell>
          <cell r="AE25">
            <v>2012</v>
          </cell>
        </row>
      </sheetData>
      <sheetData sheetId="13">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25">
          <cell r="G25">
            <v>1988</v>
          </cell>
          <cell r="H25">
            <v>1989</v>
          </cell>
          <cell r="I25">
            <v>1990</v>
          </cell>
          <cell r="J25">
            <v>1991</v>
          </cell>
          <cell r="K25">
            <v>1992</v>
          </cell>
          <cell r="L25">
            <v>1993</v>
          </cell>
          <cell r="M25">
            <v>1994</v>
          </cell>
          <cell r="N25">
            <v>1995</v>
          </cell>
          <cell r="O25">
            <v>1996</v>
          </cell>
          <cell r="P25">
            <v>1997</v>
          </cell>
          <cell r="Q25">
            <v>1998</v>
          </cell>
          <cell r="R25">
            <v>1999</v>
          </cell>
          <cell r="S25">
            <v>2000</v>
          </cell>
          <cell r="T25">
            <v>2001</v>
          </cell>
          <cell r="U25">
            <v>2002</v>
          </cell>
          <cell r="V25">
            <v>2003</v>
          </cell>
          <cell r="W25">
            <v>2004</v>
          </cell>
          <cell r="X25">
            <v>2005</v>
          </cell>
          <cell r="Y25">
            <v>2006</v>
          </cell>
          <cell r="Z25">
            <v>2007</v>
          </cell>
          <cell r="AA25">
            <v>2008</v>
          </cell>
          <cell r="AB25">
            <v>2009</v>
          </cell>
          <cell r="AC25">
            <v>2010</v>
          </cell>
          <cell r="AD25">
            <v>2011</v>
          </cell>
          <cell r="AE25">
            <v>2012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4">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25">
          <cell r="G25">
            <v>1988</v>
          </cell>
          <cell r="H25">
            <v>1989</v>
          </cell>
          <cell r="I25">
            <v>1990</v>
          </cell>
          <cell r="J25">
            <v>1991</v>
          </cell>
          <cell r="K25">
            <v>1992</v>
          </cell>
          <cell r="L25">
            <v>1993</v>
          </cell>
          <cell r="M25">
            <v>1994</v>
          </cell>
          <cell r="N25">
            <v>1995</v>
          </cell>
          <cell r="O25">
            <v>1996</v>
          </cell>
          <cell r="P25">
            <v>1997</v>
          </cell>
          <cell r="Q25">
            <v>1998</v>
          </cell>
          <cell r="R25">
            <v>1999</v>
          </cell>
          <cell r="S25">
            <v>2000</v>
          </cell>
          <cell r="T25">
            <v>2001</v>
          </cell>
          <cell r="U25">
            <v>2002</v>
          </cell>
          <cell r="V25">
            <v>2003</v>
          </cell>
          <cell r="W25">
            <v>2004</v>
          </cell>
          <cell r="X25">
            <v>2005</v>
          </cell>
          <cell r="Y25">
            <v>2006</v>
          </cell>
          <cell r="Z25">
            <v>2007</v>
          </cell>
          <cell r="AA25">
            <v>2008</v>
          </cell>
          <cell r="AB25">
            <v>2009</v>
          </cell>
          <cell r="AC25">
            <v>2010</v>
          </cell>
          <cell r="AD25">
            <v>2011</v>
          </cell>
          <cell r="AE25">
            <v>2012</v>
          </cell>
        </row>
      </sheetData>
      <sheetData sheetId="15"/>
      <sheetData sheetId="16"/>
      <sheetData sheetId="17"/>
      <sheetData sheetId="18">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 sheetId="19">
        <row r="3">
          <cell r="H3">
            <v>1996</v>
          </cell>
        </row>
        <row r="20">
          <cell r="I20">
            <v>95625721.599999994</v>
          </cell>
          <cell r="J20">
            <v>97978591.5</v>
          </cell>
          <cell r="K20">
            <v>103924856</v>
          </cell>
          <cell r="L20">
            <v>111027588</v>
          </cell>
          <cell r="M20">
            <v>96341311.099999994</v>
          </cell>
          <cell r="N20">
            <v>108671903</v>
          </cell>
          <cell r="O20">
            <v>99866969</v>
          </cell>
          <cell r="P20">
            <v>100944884</v>
          </cell>
          <cell r="Q20">
            <v>73705838.200000003</v>
          </cell>
          <cell r="R20">
            <v>75769386.900000006</v>
          </cell>
          <cell r="S20">
            <v>115245071</v>
          </cell>
          <cell r="T20">
            <v>119849516</v>
          </cell>
          <cell r="U20">
            <v>129241327</v>
          </cell>
          <cell r="V20">
            <v>126669149</v>
          </cell>
          <cell r="W20">
            <v>146991886</v>
          </cell>
          <cell r="X20">
            <v>144899296</v>
          </cell>
          <cell r="Y20">
            <v>154371232</v>
          </cell>
          <cell r="Z20">
            <v>159917766</v>
          </cell>
          <cell r="AA20">
            <v>164882183</v>
          </cell>
          <cell r="AB20">
            <v>169850046</v>
          </cell>
          <cell r="AC20">
            <v>173508403</v>
          </cell>
          <cell r="AD20">
            <v>177411268</v>
          </cell>
          <cell r="AE20">
            <v>183070657</v>
          </cell>
        </row>
        <row r="21">
          <cell r="I21">
            <v>338057128</v>
          </cell>
          <cell r="J21">
            <v>334872035</v>
          </cell>
          <cell r="K21">
            <v>212453978</v>
          </cell>
          <cell r="L21">
            <v>207686900</v>
          </cell>
          <cell r="M21">
            <v>143244318</v>
          </cell>
          <cell r="N21">
            <v>158068222</v>
          </cell>
          <cell r="O21">
            <v>324909659</v>
          </cell>
          <cell r="P21">
            <v>140649871</v>
          </cell>
          <cell r="Q21">
            <v>148856889</v>
          </cell>
          <cell r="R21">
            <v>180963779</v>
          </cell>
          <cell r="S21">
            <v>213474091</v>
          </cell>
          <cell r="T21">
            <v>185920403</v>
          </cell>
          <cell r="U21">
            <v>191972497</v>
          </cell>
          <cell r="V21">
            <v>204206022</v>
          </cell>
          <cell r="W21">
            <v>226259762</v>
          </cell>
          <cell r="X21">
            <v>228985935</v>
          </cell>
          <cell r="Y21">
            <v>233741346</v>
          </cell>
          <cell r="Z21">
            <v>247212327</v>
          </cell>
          <cell r="AA21">
            <v>259314706</v>
          </cell>
          <cell r="AB21">
            <v>278005680</v>
          </cell>
          <cell r="AC21">
            <v>290722968</v>
          </cell>
          <cell r="AD21">
            <v>305585048</v>
          </cell>
          <cell r="AE21">
            <v>312812036</v>
          </cell>
        </row>
        <row r="22">
          <cell r="I22">
            <v>78790207.200000003</v>
          </cell>
          <cell r="J22">
            <v>75161659.200000003</v>
          </cell>
          <cell r="K22">
            <v>65775225.399999999</v>
          </cell>
          <cell r="L22">
            <v>80331725.400000006</v>
          </cell>
          <cell r="M22">
            <v>69086861.299999997</v>
          </cell>
          <cell r="N22">
            <v>139015356</v>
          </cell>
          <cell r="O22">
            <v>100550989</v>
          </cell>
          <cell r="P22">
            <v>101617850</v>
          </cell>
          <cell r="Q22">
            <v>85267538.299999997</v>
          </cell>
          <cell r="R22">
            <v>100045016</v>
          </cell>
          <cell r="S22">
            <v>126846923</v>
          </cell>
          <cell r="T22">
            <v>111398588</v>
          </cell>
          <cell r="U22">
            <v>139066691</v>
          </cell>
          <cell r="V22">
            <v>99032243.5</v>
          </cell>
          <cell r="W22">
            <v>112360290</v>
          </cell>
          <cell r="X22">
            <v>120874543</v>
          </cell>
          <cell r="Y22">
            <v>121603753</v>
          </cell>
          <cell r="Z22">
            <v>132042192</v>
          </cell>
          <cell r="AA22">
            <v>136402533</v>
          </cell>
          <cell r="AB22">
            <v>147000264</v>
          </cell>
          <cell r="AC22">
            <v>154229691</v>
          </cell>
          <cell r="AD22">
            <v>163343414</v>
          </cell>
          <cell r="AE22">
            <v>169539348</v>
          </cell>
        </row>
        <row r="23">
          <cell r="I23">
            <v>186537499</v>
          </cell>
          <cell r="J23">
            <v>187904148</v>
          </cell>
          <cell r="K23">
            <v>210480721</v>
          </cell>
          <cell r="L23">
            <v>207686900</v>
          </cell>
          <cell r="M23">
            <v>185076729</v>
          </cell>
          <cell r="N23">
            <v>222283438</v>
          </cell>
          <cell r="O23">
            <v>215466406</v>
          </cell>
          <cell r="P23">
            <v>184392654</v>
          </cell>
          <cell r="Q23">
            <v>167644652</v>
          </cell>
          <cell r="R23">
            <v>158895025</v>
          </cell>
          <cell r="S23">
            <v>152371000</v>
          </cell>
          <cell r="T23">
            <v>96801531.900000006</v>
          </cell>
          <cell r="U23">
            <v>78602912.200000003</v>
          </cell>
          <cell r="V23">
            <v>105173778</v>
          </cell>
          <cell r="W23">
            <v>106203562</v>
          </cell>
          <cell r="X23">
            <v>104357524</v>
          </cell>
          <cell r="Y23">
            <v>107768596</v>
          </cell>
          <cell r="Z23">
            <v>112969431</v>
          </cell>
          <cell r="AA23">
            <v>119914315</v>
          </cell>
          <cell r="AB23">
            <v>121103844</v>
          </cell>
          <cell r="AC23">
            <v>124154902</v>
          </cell>
          <cell r="AD23">
            <v>129736874</v>
          </cell>
          <cell r="AE23">
            <v>132925216</v>
          </cell>
        </row>
        <row r="25">
          <cell r="H25" t="str">
            <v>Idaho</v>
          </cell>
          <cell r="I25">
            <v>629803398</v>
          </cell>
          <cell r="J25">
            <v>642873377.35000002</v>
          </cell>
          <cell r="K25">
            <v>827853700.19000006</v>
          </cell>
          <cell r="L25">
            <v>949314310.5</v>
          </cell>
          <cell r="M25">
            <v>824671705.72000003</v>
          </cell>
          <cell r="N25">
            <v>1036558543.99</v>
          </cell>
          <cell r="O25">
            <v>921412882.70000005</v>
          </cell>
          <cell r="P25">
            <v>989557786.60000002</v>
          </cell>
          <cell r="Q25">
            <v>1115915065.9000001</v>
          </cell>
          <cell r="R25">
            <v>1206767924.2</v>
          </cell>
          <cell r="S25">
            <v>1308849574.0699999</v>
          </cell>
          <cell r="T25">
            <v>1308585287.1199999</v>
          </cell>
          <cell r="U25">
            <v>1550282951.0999999</v>
          </cell>
          <cell r="V25">
            <v>1525677268</v>
          </cell>
          <cell r="W25">
            <v>1548751854</v>
          </cell>
          <cell r="X25">
            <v>1538633207</v>
          </cell>
          <cell r="Y25">
            <v>1572647948.3599999</v>
          </cell>
          <cell r="Z25">
            <v>1607127657.75</v>
          </cell>
          <cell r="AA25">
            <v>1636247118.73</v>
          </cell>
          <cell r="AB25">
            <v>1670740596.71</v>
          </cell>
          <cell r="AC25">
            <v>1711084692.01</v>
          </cell>
          <cell r="AD25">
            <v>1745849788.4400001</v>
          </cell>
          <cell r="AE25">
            <v>1793842788.48</v>
          </cell>
        </row>
        <row r="26">
          <cell r="H26" t="str">
            <v>Montana</v>
          </cell>
          <cell r="I26">
            <v>157306078.61199999</v>
          </cell>
          <cell r="J26">
            <v>158988866.479</v>
          </cell>
          <cell r="K26">
            <v>148022659.32499999</v>
          </cell>
          <cell r="L26">
            <v>155196955.574</v>
          </cell>
          <cell r="M26">
            <v>150797506.91999999</v>
          </cell>
          <cell r="N26">
            <v>196689240.5</v>
          </cell>
          <cell r="O26">
            <v>190677159.15799999</v>
          </cell>
          <cell r="P26">
            <v>182341406.83200002</v>
          </cell>
          <cell r="Q26">
            <v>229853474.61199999</v>
          </cell>
          <cell r="R26">
            <v>168291733.711</v>
          </cell>
          <cell r="S26">
            <v>185044294.19700003</v>
          </cell>
          <cell r="T26">
            <v>230868388.64999998</v>
          </cell>
          <cell r="U26">
            <v>238708494.85599998</v>
          </cell>
          <cell r="V26">
            <v>318134630.06999993</v>
          </cell>
          <cell r="W26">
            <v>310634073.77999997</v>
          </cell>
          <cell r="X26">
            <v>320834983.16000003</v>
          </cell>
          <cell r="Y26">
            <v>323015623.47000003</v>
          </cell>
          <cell r="Z26">
            <v>319071472.87</v>
          </cell>
          <cell r="AA26">
            <v>320041493.44999999</v>
          </cell>
          <cell r="AB26">
            <v>321220236.61000001</v>
          </cell>
          <cell r="AC26">
            <v>317274315.14999998</v>
          </cell>
          <cell r="AD26">
            <v>317242678.67000002</v>
          </cell>
          <cell r="AE26">
            <v>314343281.5</v>
          </cell>
        </row>
        <row r="27">
          <cell r="H27" t="str">
            <v>Oregon</v>
          </cell>
          <cell r="I27">
            <v>1023141844.83</v>
          </cell>
          <cell r="J27">
            <v>1032526028.86</v>
          </cell>
          <cell r="K27">
            <v>962715823.98000002</v>
          </cell>
          <cell r="L27">
            <v>1076032289.2</v>
          </cell>
          <cell r="M27">
            <v>1134553263.6399999</v>
          </cell>
          <cell r="N27">
            <v>1277568570.9000001</v>
          </cell>
          <cell r="O27">
            <v>1325282272.8</v>
          </cell>
          <cell r="P27">
            <v>1385460617.0999999</v>
          </cell>
          <cell r="Q27">
            <v>1327843272.4000001</v>
          </cell>
          <cell r="R27">
            <v>1262279512.3</v>
          </cell>
          <cell r="S27">
            <v>1527455277.2</v>
          </cell>
          <cell r="T27">
            <v>1481428474.1000001</v>
          </cell>
          <cell r="U27">
            <v>1611305885.4000001</v>
          </cell>
          <cell r="V27">
            <v>1703912175.9000001</v>
          </cell>
          <cell r="W27">
            <v>1822716919.9000001</v>
          </cell>
          <cell r="X27">
            <v>1863138987.4000001</v>
          </cell>
          <cell r="Y27">
            <v>1934947194.0999999</v>
          </cell>
          <cell r="Z27">
            <v>2020589620.3999999</v>
          </cell>
          <cell r="AA27">
            <v>2083950219.9000001</v>
          </cell>
          <cell r="AB27">
            <v>2146630229.3</v>
          </cell>
          <cell r="AC27">
            <v>2204367746.5</v>
          </cell>
          <cell r="AD27">
            <v>2262579257.1000004</v>
          </cell>
          <cell r="AE27">
            <v>2319287101.8000002</v>
          </cell>
        </row>
        <row r="28">
          <cell r="H28" t="str">
            <v>Washington</v>
          </cell>
          <cell r="I28">
            <v>1273438305.8</v>
          </cell>
          <cell r="J28">
            <v>1241509549.7</v>
          </cell>
          <cell r="K28">
            <v>1106339290.4000001</v>
          </cell>
          <cell r="L28">
            <v>1131175190.4000001</v>
          </cell>
          <cell r="M28">
            <v>972920477.39999998</v>
          </cell>
          <cell r="N28">
            <v>1033088739</v>
          </cell>
          <cell r="O28">
            <v>855709439</v>
          </cell>
          <cell r="P28">
            <v>854666682</v>
          </cell>
          <cell r="Q28">
            <v>802092945.5</v>
          </cell>
          <cell r="R28">
            <v>821693254.89999998</v>
          </cell>
          <cell r="S28">
            <v>979969830</v>
          </cell>
          <cell r="T28">
            <v>938821206.89999998</v>
          </cell>
          <cell r="U28">
            <v>1005210320.2</v>
          </cell>
          <cell r="V28">
            <v>1020262416.5</v>
          </cell>
          <cell r="W28">
            <v>1129759628</v>
          </cell>
          <cell r="X28">
            <v>1167452880</v>
          </cell>
          <cell r="Y28">
            <v>1221862862</v>
          </cell>
          <cell r="Z28">
            <v>1302082730</v>
          </cell>
          <cell r="AA28">
            <v>1366273724</v>
          </cell>
          <cell r="AB28">
            <v>1436489624</v>
          </cell>
          <cell r="AC28">
            <v>1503739491</v>
          </cell>
          <cell r="AD28">
            <v>1577162726</v>
          </cell>
          <cell r="AE28">
            <v>1639676320</v>
          </cell>
        </row>
        <row r="30">
          <cell r="G30" t="str">
            <v>2 Digit NAICS descp.</v>
          </cell>
          <cell r="H30" t="str">
            <v>3 digit nics descp</v>
          </cell>
          <cell r="I30" t="str">
            <v>Building type</v>
          </cell>
          <cell r="J30" t="str">
            <v>Mapping to 2020 ECCs</v>
          </cell>
          <cell r="K30" t="str">
            <v>Mapping to 2020 Transportation</v>
          </cell>
          <cell r="L30" t="str">
            <v>Mapping</v>
          </cell>
          <cell r="M30" t="str">
            <v>State</v>
          </cell>
          <cell r="N30" t="str">
            <v>Regions</v>
          </cell>
          <cell r="O30">
            <v>1997</v>
          </cell>
          <cell r="P30">
            <v>1998</v>
          </cell>
          <cell r="Q30">
            <v>1999</v>
          </cell>
          <cell r="R30">
            <v>2000</v>
          </cell>
          <cell r="S30">
            <v>2001</v>
          </cell>
          <cell r="T30">
            <v>2002</v>
          </cell>
          <cell r="U30">
            <v>2003</v>
          </cell>
          <cell r="V30">
            <v>2004</v>
          </cell>
          <cell r="W30">
            <v>2005</v>
          </cell>
          <cell r="X30">
            <v>2006</v>
          </cell>
          <cell r="Y30">
            <v>2007</v>
          </cell>
          <cell r="Z30">
            <v>2008</v>
          </cell>
          <cell r="AA30">
            <v>2009</v>
          </cell>
          <cell r="AB30">
            <v>2010</v>
          </cell>
          <cell r="AC30">
            <v>2011</v>
          </cell>
          <cell r="AD30">
            <v>2012</v>
          </cell>
          <cell r="AE30">
            <v>2013</v>
          </cell>
        </row>
        <row r="31">
          <cell r="G31" t="str">
            <v>Manufacturing</v>
          </cell>
          <cell r="H31" t="str">
            <v>Food Manufacturing</v>
          </cell>
          <cell r="I31" t="str">
            <v>Manufacturing</v>
          </cell>
          <cell r="J31" t="str">
            <v>Food &amp; Tobacco</v>
          </cell>
          <cell r="K31" t="str">
            <v>Freight</v>
          </cell>
          <cell r="L31" t="str">
            <v>Sales (Inflation Adjusted - 2000$)_ID_3115</v>
          </cell>
          <cell r="M31" t="str">
            <v>ID</v>
          </cell>
          <cell r="N31" t="str">
            <v>Idaho</v>
          </cell>
          <cell r="O31">
            <v>629803398</v>
          </cell>
          <cell r="P31">
            <v>642873377.35000002</v>
          </cell>
          <cell r="Q31">
            <v>827853700.19000006</v>
          </cell>
          <cell r="R31">
            <v>949314310.5</v>
          </cell>
          <cell r="S31">
            <v>824671705.72000003</v>
          </cell>
          <cell r="T31">
            <v>1036558543.99</v>
          </cell>
          <cell r="U31">
            <v>921412882.70000005</v>
          </cell>
          <cell r="V31">
            <v>989557786.60000002</v>
          </cell>
          <cell r="W31">
            <v>1115915065.9000001</v>
          </cell>
          <cell r="X31">
            <v>1206767924.2</v>
          </cell>
          <cell r="Y31">
            <v>1308849574.0699999</v>
          </cell>
          <cell r="Z31">
            <v>1308585287.1199999</v>
          </cell>
          <cell r="AA31">
            <v>1550282951.0999999</v>
          </cell>
          <cell r="AB31">
            <v>1525677268</v>
          </cell>
          <cell r="AC31">
            <v>1548751854</v>
          </cell>
          <cell r="AD31">
            <v>1538633207</v>
          </cell>
          <cell r="AE31">
            <v>1572647948.3599999</v>
          </cell>
        </row>
        <row r="32">
          <cell r="G32" t="str">
            <v>Manufacturing</v>
          </cell>
          <cell r="H32" t="str">
            <v>Food Manufacturing</v>
          </cell>
          <cell r="I32" t="str">
            <v>Manufacturing</v>
          </cell>
          <cell r="J32" t="str">
            <v>Food &amp; Tobacco</v>
          </cell>
          <cell r="K32" t="str">
            <v>Freight</v>
          </cell>
          <cell r="L32" t="str">
            <v>Sales (Inflation Adjusted - 2000$)_MT_3115</v>
          </cell>
          <cell r="M32" t="str">
            <v>MT</v>
          </cell>
          <cell r="N32" t="str">
            <v>Montana</v>
          </cell>
          <cell r="O32">
            <v>157306078.61199999</v>
          </cell>
          <cell r="P32">
            <v>158988866.479</v>
          </cell>
          <cell r="Q32">
            <v>148022659.32499999</v>
          </cell>
          <cell r="R32">
            <v>155196955.574</v>
          </cell>
          <cell r="S32">
            <v>150797506.91999999</v>
          </cell>
          <cell r="T32">
            <v>196689240.5</v>
          </cell>
          <cell r="U32">
            <v>190677159.15799999</v>
          </cell>
          <cell r="V32">
            <v>182341406.83200002</v>
          </cell>
          <cell r="W32">
            <v>229853474.61199999</v>
          </cell>
          <cell r="X32">
            <v>168291733.711</v>
          </cell>
          <cell r="Y32">
            <v>185044294.19700003</v>
          </cell>
          <cell r="Z32">
            <v>230868388.64999998</v>
          </cell>
          <cell r="AA32">
            <v>238708494.85599998</v>
          </cell>
          <cell r="AB32">
            <v>318134630.06999993</v>
          </cell>
          <cell r="AC32">
            <v>310634073.77999997</v>
          </cell>
          <cell r="AD32">
            <v>320834983.16000003</v>
          </cell>
          <cell r="AE32">
            <v>323015623.47000003</v>
          </cell>
        </row>
        <row r="33">
          <cell r="G33" t="str">
            <v>Manufacturing</v>
          </cell>
          <cell r="H33" t="str">
            <v>Food Manufacturing</v>
          </cell>
          <cell r="I33" t="str">
            <v>Manufacturing</v>
          </cell>
          <cell r="J33" t="str">
            <v>Food &amp; Tobacco</v>
          </cell>
          <cell r="K33" t="str">
            <v>Freight</v>
          </cell>
          <cell r="L33" t="str">
            <v>Sales (Inflation Adjusted - 2000$)_OR_3115</v>
          </cell>
          <cell r="M33" t="str">
            <v>OR</v>
          </cell>
          <cell r="N33" t="str">
            <v>Oregon</v>
          </cell>
          <cell r="O33">
            <v>1023141844.83</v>
          </cell>
          <cell r="P33">
            <v>1032526028.86</v>
          </cell>
          <cell r="Q33">
            <v>962715823.98000002</v>
          </cell>
          <cell r="R33">
            <v>1076032289.2</v>
          </cell>
          <cell r="S33">
            <v>1134553263.6399999</v>
          </cell>
          <cell r="T33">
            <v>1277568570.9000001</v>
          </cell>
          <cell r="U33">
            <v>1325282272.8</v>
          </cell>
          <cell r="V33">
            <v>1385460617.0999999</v>
          </cell>
          <cell r="W33">
            <v>1327843272.4000001</v>
          </cell>
          <cell r="X33">
            <v>1262279512.3</v>
          </cell>
          <cell r="Y33">
            <v>1527455277.2</v>
          </cell>
          <cell r="Z33">
            <v>1481428474.1000001</v>
          </cell>
          <cell r="AA33">
            <v>1611305885.4000001</v>
          </cell>
          <cell r="AB33">
            <v>1703912175.9000001</v>
          </cell>
          <cell r="AC33">
            <v>1822716919.9000001</v>
          </cell>
          <cell r="AD33">
            <v>1863138987.4000001</v>
          </cell>
          <cell r="AE33">
            <v>1934947194.0999999</v>
          </cell>
        </row>
        <row r="34">
          <cell r="G34" t="str">
            <v>Manufacturing</v>
          </cell>
          <cell r="H34" t="str">
            <v>Food Manufacturing</v>
          </cell>
          <cell r="I34" t="str">
            <v>Manufacturing</v>
          </cell>
          <cell r="J34" t="str">
            <v>Food &amp; Tobacco</v>
          </cell>
          <cell r="K34" t="str">
            <v>Freight</v>
          </cell>
          <cell r="L34" t="str">
            <v>Sales (Inflation Adjusted - 2000$)_WA_3115</v>
          </cell>
          <cell r="M34" t="str">
            <v>WA</v>
          </cell>
          <cell r="N34" t="str">
            <v>Washington</v>
          </cell>
          <cell r="O34">
            <v>1273438305.8</v>
          </cell>
          <cell r="P34">
            <v>1241509549.7</v>
          </cell>
          <cell r="Q34">
            <v>1106339290.4000001</v>
          </cell>
          <cell r="R34">
            <v>1131175190.4000001</v>
          </cell>
          <cell r="S34">
            <v>972920477.39999998</v>
          </cell>
          <cell r="T34">
            <v>1033088739</v>
          </cell>
          <cell r="U34">
            <v>855709439</v>
          </cell>
          <cell r="V34">
            <v>854666682</v>
          </cell>
          <cell r="W34">
            <v>802092945.5</v>
          </cell>
          <cell r="X34">
            <v>821693254.89999998</v>
          </cell>
          <cell r="Y34">
            <v>979969830</v>
          </cell>
          <cell r="Z34">
            <v>938821206.89999998</v>
          </cell>
          <cell r="AA34">
            <v>1005210320.2</v>
          </cell>
          <cell r="AB34">
            <v>1020262416.5</v>
          </cell>
          <cell r="AC34">
            <v>1129759628</v>
          </cell>
          <cell r="AD34">
            <v>1167452880</v>
          </cell>
          <cell r="AE34">
            <v>1221862862</v>
          </cell>
        </row>
        <row r="36">
          <cell r="G36">
            <v>1711084692.01</v>
          </cell>
          <cell r="H36">
            <v>1745849788.4400001</v>
          </cell>
          <cell r="I36">
            <v>1793842788.48</v>
          </cell>
          <cell r="J36">
            <v>1844031455.0799999</v>
          </cell>
          <cell r="K36">
            <v>1900640702.6900001</v>
          </cell>
          <cell r="L36">
            <v>1957464654.45</v>
          </cell>
          <cell r="M36">
            <v>2024591449.8199999</v>
          </cell>
          <cell r="N36">
            <v>2099484002.3499999</v>
          </cell>
          <cell r="O36">
            <v>2182153011.5999999</v>
          </cell>
          <cell r="P36">
            <v>2284892178.5</v>
          </cell>
          <cell r="Q36">
            <v>2378940927.7800002</v>
          </cell>
          <cell r="R36">
            <v>2484467592.8899999</v>
          </cell>
          <cell r="S36">
            <v>2575806943.77</v>
          </cell>
          <cell r="T36">
            <v>2675193452.4000001</v>
          </cell>
          <cell r="U36">
            <v>2783592126.4000001</v>
          </cell>
          <cell r="V36">
            <v>2887561973.1999998</v>
          </cell>
          <cell r="W36">
            <v>2987701908</v>
          </cell>
          <cell r="X36">
            <v>3105538699.9000001</v>
          </cell>
          <cell r="Y36">
            <v>3188441716.3000002</v>
          </cell>
        </row>
        <row r="37">
          <cell r="G37">
            <v>317274315.14999998</v>
          </cell>
          <cell r="H37">
            <v>317242678.67000002</v>
          </cell>
          <cell r="I37">
            <v>314343281.5</v>
          </cell>
          <cell r="J37">
            <v>315500155.42000002</v>
          </cell>
          <cell r="K37">
            <v>316604185.17000002</v>
          </cell>
          <cell r="L37">
            <v>314025803.90000004</v>
          </cell>
          <cell r="M37">
            <v>312165770.96000004</v>
          </cell>
          <cell r="N37">
            <v>316846772.75</v>
          </cell>
          <cell r="O37">
            <v>317154017.94000006</v>
          </cell>
          <cell r="P37">
            <v>317132831.70999998</v>
          </cell>
          <cell r="Q37">
            <v>329619379.67999995</v>
          </cell>
          <cell r="R37">
            <v>331066865.50999999</v>
          </cell>
          <cell r="S37">
            <v>333952763.74000001</v>
          </cell>
          <cell r="T37">
            <v>338486759.89000005</v>
          </cell>
          <cell r="U37">
            <v>344005985.83999997</v>
          </cell>
          <cell r="V37">
            <v>344015536.36000001</v>
          </cell>
          <cell r="W37">
            <v>352166717.38</v>
          </cell>
          <cell r="X37">
            <v>360257472.30000007</v>
          </cell>
          <cell r="Y37">
            <v>360167672.44999999</v>
          </cell>
        </row>
        <row r="38">
          <cell r="G38">
            <v>2204367746.5</v>
          </cell>
          <cell r="H38">
            <v>2262579257.1000004</v>
          </cell>
          <cell r="I38">
            <v>2319287101.8000002</v>
          </cell>
          <cell r="J38">
            <v>2377721823.3000002</v>
          </cell>
          <cell r="K38">
            <v>2439565476.5999999</v>
          </cell>
          <cell r="L38">
            <v>2511493504.3000002</v>
          </cell>
          <cell r="M38">
            <v>2591814073.3999996</v>
          </cell>
          <cell r="N38">
            <v>2679434278</v>
          </cell>
          <cell r="O38">
            <v>2774540250.3000002</v>
          </cell>
          <cell r="P38">
            <v>2879612349.6999998</v>
          </cell>
          <cell r="Q38">
            <v>2984193071.1999998</v>
          </cell>
          <cell r="R38">
            <v>3092428874</v>
          </cell>
          <cell r="S38">
            <v>3202917778.5999999</v>
          </cell>
          <cell r="T38">
            <v>3332498384.6999998</v>
          </cell>
          <cell r="U38">
            <v>3442249037.4000001</v>
          </cell>
          <cell r="V38">
            <v>3565172330.5999999</v>
          </cell>
          <cell r="W38">
            <v>3708165815.2000003</v>
          </cell>
          <cell r="X38">
            <v>3837626194.8000002</v>
          </cell>
          <cell r="Y38">
            <v>3986119730.8000002</v>
          </cell>
        </row>
        <row r="39">
          <cell r="G39">
            <v>1503739491</v>
          </cell>
          <cell r="H39">
            <v>1577162726</v>
          </cell>
          <cell r="I39">
            <v>1639676320</v>
          </cell>
          <cell r="J39">
            <v>1705797870</v>
          </cell>
          <cell r="K39">
            <v>1761876129</v>
          </cell>
          <cell r="L39">
            <v>1832353919</v>
          </cell>
          <cell r="M39">
            <v>1885834558</v>
          </cell>
          <cell r="N39">
            <v>1950702973</v>
          </cell>
          <cell r="O39">
            <v>2024878252</v>
          </cell>
          <cell r="P39">
            <v>2106253871</v>
          </cell>
          <cell r="Q39">
            <v>2193325448</v>
          </cell>
          <cell r="R39">
            <v>2273964959</v>
          </cell>
          <cell r="S39">
            <v>2356511431</v>
          </cell>
          <cell r="T39">
            <v>2435921000</v>
          </cell>
          <cell r="U39">
            <v>2531172713</v>
          </cell>
          <cell r="V39">
            <v>2621004345</v>
          </cell>
          <cell r="W39">
            <v>2698900541</v>
          </cell>
          <cell r="X39">
            <v>2796518159</v>
          </cell>
          <cell r="Y39">
            <v>2869362843</v>
          </cell>
        </row>
        <row r="40">
          <cell r="G40">
            <v>5736466244.6599998</v>
          </cell>
          <cell r="H40">
            <v>5902834450.210001</v>
          </cell>
          <cell r="I40">
            <v>6067149491.7800007</v>
          </cell>
          <cell r="J40">
            <v>6243051303.8000002</v>
          </cell>
          <cell r="K40">
            <v>6418686493.46</v>
          </cell>
          <cell r="L40">
            <v>6615337881.6499996</v>
          </cell>
          <cell r="M40">
            <v>6814405852.1799994</v>
          </cell>
          <cell r="N40">
            <v>7046468026.1000004</v>
          </cell>
          <cell r="O40">
            <v>7298725531.8400002</v>
          </cell>
          <cell r="P40">
            <v>7587891230.9099998</v>
          </cell>
          <cell r="Q40">
            <v>7886078826.6599998</v>
          </cell>
          <cell r="R40">
            <v>8181928291.3999996</v>
          </cell>
          <cell r="S40">
            <v>8469188917.1100006</v>
          </cell>
          <cell r="T40">
            <v>8782099596.9899998</v>
          </cell>
          <cell r="U40">
            <v>9101019862.6399994</v>
          </cell>
          <cell r="V40">
            <v>9417754185.1599998</v>
          </cell>
          <cell r="W40">
            <v>9746934981.5799999</v>
          </cell>
          <cell r="X40">
            <v>10099940526</v>
          </cell>
          <cell r="Y40">
            <v>10404091962.549999</v>
          </cell>
          <cell r="AB40">
            <v>0</v>
          </cell>
        </row>
        <row r="45">
          <cell r="G45" t="str">
            <v>Montana - Sales</v>
          </cell>
          <cell r="H45" t="str">
            <v>Montana - Production</v>
          </cell>
          <cell r="I45" t="str">
            <v>Oregon - Employment</v>
          </cell>
          <cell r="J45" t="str">
            <v>Oregon - Sales</v>
          </cell>
          <cell r="K45" t="str">
            <v>Oregon - Production</v>
          </cell>
          <cell r="L45" t="str">
            <v>Washington - Employment</v>
          </cell>
          <cell r="M45" t="str">
            <v>Washington - Sales</v>
          </cell>
          <cell r="N45" t="str">
            <v>Washington - Production</v>
          </cell>
          <cell r="S45" t="str">
            <v>Milk cows and production by State and region, 2009-2013 (cont.)</v>
          </cell>
        </row>
        <row r="46">
          <cell r="G46">
            <v>157306078.61199999</v>
          </cell>
          <cell r="H46">
            <v>295</v>
          </cell>
          <cell r="J46">
            <v>1023141844.83</v>
          </cell>
          <cell r="K46">
            <v>1610</v>
          </cell>
          <cell r="M46">
            <v>1273438305.8</v>
          </cell>
          <cell r="N46">
            <v>5305</v>
          </cell>
        </row>
        <row r="47">
          <cell r="G47">
            <v>158988866.479</v>
          </cell>
          <cell r="H47">
            <v>291</v>
          </cell>
          <cell r="J47">
            <v>1032526028.86</v>
          </cell>
          <cell r="K47">
            <v>1583</v>
          </cell>
          <cell r="M47">
            <v>1241509549.7</v>
          </cell>
          <cell r="N47">
            <v>5326</v>
          </cell>
          <cell r="R47" t="str">
            <v>State and region</v>
          </cell>
          <cell r="T47" t="str">
            <v>Milk production</v>
          </cell>
        </row>
        <row r="48">
          <cell r="G48">
            <v>148022659.32499999</v>
          </cell>
          <cell r="H48">
            <v>303</v>
          </cell>
          <cell r="J48">
            <v>962715823.98000002</v>
          </cell>
          <cell r="K48">
            <v>1665</v>
          </cell>
          <cell r="M48">
            <v>1106339290.4000001</v>
          </cell>
          <cell r="N48">
            <v>5535</v>
          </cell>
          <cell r="T48">
            <v>2008</v>
          </cell>
          <cell r="V48">
            <v>2009</v>
          </cell>
          <cell r="X48">
            <v>2010</v>
          </cell>
          <cell r="Z48" t="str">
            <v xml:space="preserve">2011  </v>
          </cell>
          <cell r="AB48" t="str">
            <v>2012</v>
          </cell>
          <cell r="AD48" t="str">
            <v>2013 1/</v>
          </cell>
        </row>
        <row r="49">
          <cell r="G49">
            <v>155196955.574</v>
          </cell>
          <cell r="H49">
            <v>338</v>
          </cell>
          <cell r="J49">
            <v>1076032289.2</v>
          </cell>
          <cell r="K49">
            <v>1640</v>
          </cell>
          <cell r="M49">
            <v>1131175190.4000001</v>
          </cell>
          <cell r="N49">
            <v>5593</v>
          </cell>
        </row>
        <row r="50">
          <cell r="G50">
            <v>150797506.91999999</v>
          </cell>
          <cell r="H50">
            <v>346</v>
          </cell>
          <cell r="J50">
            <v>1134553263.6399999</v>
          </cell>
          <cell r="K50">
            <v>1717</v>
          </cell>
          <cell r="M50">
            <v>972920477.39999998</v>
          </cell>
          <cell r="N50">
            <v>5514</v>
          </cell>
          <cell r="T50" t="str">
            <v>mil. pounds</v>
          </cell>
          <cell r="U50" t="str">
            <v>% US</v>
          </cell>
          <cell r="V50" t="str">
            <v>mil. pounds</v>
          </cell>
          <cell r="W50" t="str">
            <v>% US</v>
          </cell>
          <cell r="X50" t="str">
            <v>mil. pounds</v>
          </cell>
          <cell r="Y50" t="str">
            <v>% US</v>
          </cell>
          <cell r="Z50" t="str">
            <v>mil. pounds</v>
          </cell>
          <cell r="AA50" t="str">
            <v>% US</v>
          </cell>
          <cell r="AB50" t="str">
            <v>mil. pounds</v>
          </cell>
          <cell r="AC50" t="str">
            <v>% US</v>
          </cell>
          <cell r="AD50" t="str">
            <v>mil. pounds</v>
          </cell>
          <cell r="AE50" t="str">
            <v>% US</v>
          </cell>
        </row>
        <row r="51">
          <cell r="G51">
            <v>196689240.5</v>
          </cell>
          <cell r="H51">
            <v>341</v>
          </cell>
          <cell r="J51">
            <v>1277568570.9000001</v>
          </cell>
          <cell r="K51">
            <v>2093</v>
          </cell>
          <cell r="M51">
            <v>1033088739</v>
          </cell>
          <cell r="N51">
            <v>5620</v>
          </cell>
          <cell r="R51" t="str">
            <v xml:space="preserve">  Mountain</v>
          </cell>
          <cell r="T51">
            <v>30247.7</v>
          </cell>
          <cell r="U51">
            <v>0.15921325302409753</v>
          </cell>
          <cell r="V51">
            <v>29750.7</v>
          </cell>
          <cell r="W51">
            <v>0.15713375755808795</v>
          </cell>
          <cell r="X51">
            <v>30359.9</v>
          </cell>
          <cell r="Y51">
            <v>0.15823747061052451</v>
          </cell>
          <cell r="Z51">
            <v>31780.1</v>
          </cell>
          <cell r="AA51">
            <v>0.1620073142656728</v>
          </cell>
          <cell r="AB51">
            <v>32550</v>
          </cell>
          <cell r="AC51">
            <v>0.16231418640949052</v>
          </cell>
          <cell r="AD51">
            <v>32405</v>
          </cell>
          <cell r="AE51">
            <v>0.1610450409259655</v>
          </cell>
        </row>
        <row r="52">
          <cell r="G52">
            <v>190677159.15799999</v>
          </cell>
          <cell r="H52">
            <v>345</v>
          </cell>
          <cell r="J52">
            <v>1325282272.8</v>
          </cell>
          <cell r="K52">
            <v>2177</v>
          </cell>
          <cell r="M52">
            <v>855709439</v>
          </cell>
          <cell r="N52">
            <v>5581</v>
          </cell>
          <cell r="S52" t="str">
            <v>Montana</v>
          </cell>
          <cell r="T52">
            <v>313</v>
          </cell>
          <cell r="U52">
            <v>1.6475219007244361E-3</v>
          </cell>
          <cell r="V52">
            <v>299</v>
          </cell>
          <cell r="W52">
            <v>1.5792231278547494E-3</v>
          </cell>
          <cell r="X52">
            <v>284</v>
          </cell>
          <cell r="Y52">
            <v>1.4802236388587893E-3</v>
          </cell>
          <cell r="Z52">
            <v>288</v>
          </cell>
          <cell r="AA52">
            <v>1.4681548046895311E-3</v>
          </cell>
          <cell r="AB52">
            <v>299</v>
          </cell>
          <cell r="AC52">
            <v>1.4909966739304966E-3</v>
          </cell>
          <cell r="AD52">
            <v>298</v>
          </cell>
          <cell r="AE52">
            <v>1.480988186882818E-3</v>
          </cell>
        </row>
        <row r="53">
          <cell r="G53">
            <v>182341406.83200002</v>
          </cell>
          <cell r="H53">
            <v>348</v>
          </cell>
          <cell r="J53">
            <v>1385460617.0999999</v>
          </cell>
          <cell r="K53">
            <v>2270</v>
          </cell>
          <cell r="M53">
            <v>854666682</v>
          </cell>
          <cell r="N53">
            <v>5416</v>
          </cell>
          <cell r="S53" t="str">
            <v>Idaho</v>
          </cell>
          <cell r="T53">
            <v>12315</v>
          </cell>
          <cell r="U53">
            <v>6.4821828138726612E-2</v>
          </cell>
          <cell r="V53">
            <v>12150</v>
          </cell>
          <cell r="W53">
            <v>6.4172444827542488E-2</v>
          </cell>
          <cell r="X53">
            <v>12746</v>
          </cell>
          <cell r="Y53">
            <v>6.6432853876387782E-2</v>
          </cell>
          <cell r="Z53">
            <v>13256</v>
          </cell>
          <cell r="AA53">
            <v>6.7575903093626474E-2</v>
          </cell>
          <cell r="AB53">
            <v>13558</v>
          </cell>
          <cell r="AC53">
            <v>6.7608471254681182E-2</v>
          </cell>
          <cell r="AD53">
            <v>13431</v>
          </cell>
          <cell r="AE53">
            <v>6.6748833349070905E-2</v>
          </cell>
        </row>
        <row r="54">
          <cell r="G54">
            <v>229853474.61199999</v>
          </cell>
          <cell r="H54">
            <v>372</v>
          </cell>
          <cell r="J54">
            <v>1327843272.4000001</v>
          </cell>
          <cell r="K54">
            <v>2284</v>
          </cell>
          <cell r="M54">
            <v>802092945.5</v>
          </cell>
          <cell r="N54">
            <v>5608</v>
          </cell>
        </row>
        <row r="55">
          <cell r="G55">
            <v>168291733.711</v>
          </cell>
          <cell r="H55">
            <v>354</v>
          </cell>
          <cell r="J55">
            <v>1262279512.3</v>
          </cell>
          <cell r="K55">
            <v>2242</v>
          </cell>
          <cell r="M55">
            <v>821693254.89999998</v>
          </cell>
          <cell r="N55">
            <v>5464</v>
          </cell>
          <cell r="R55" t="str">
            <v xml:space="preserve">  Pacific</v>
          </cell>
          <cell r="T55">
            <v>49178.7</v>
          </cell>
          <cell r="U55">
            <v>0.25885937795257769</v>
          </cell>
          <cell r="V55">
            <v>47348.3</v>
          </cell>
          <cell r="W55">
            <v>0.25007869707225766</v>
          </cell>
          <cell r="X55">
            <v>48650.6</v>
          </cell>
          <cell r="Y55">
            <v>0.25356960621360358</v>
          </cell>
          <cell r="Z55">
            <v>50144.3</v>
          </cell>
          <cell r="AA55">
            <v>0.25562359365553217</v>
          </cell>
          <cell r="AB55">
            <v>50582</v>
          </cell>
          <cell r="AC55">
            <v>0.25223275505268355</v>
          </cell>
          <cell r="AD55">
            <v>50139</v>
          </cell>
          <cell r="AE55">
            <v>0.24917874732254233</v>
          </cell>
        </row>
        <row r="56">
          <cell r="G56">
            <v>185044294.19700003</v>
          </cell>
          <cell r="H56">
            <v>333</v>
          </cell>
          <cell r="J56">
            <v>1527455277.2</v>
          </cell>
          <cell r="K56">
            <v>2233</v>
          </cell>
          <cell r="M56">
            <v>979969830</v>
          </cell>
          <cell r="N56">
            <v>5531</v>
          </cell>
          <cell r="S56" t="str">
            <v>Washington</v>
          </cell>
          <cell r="T56">
            <v>5696</v>
          </cell>
          <cell r="U56">
            <v>2.998174040423766E-2</v>
          </cell>
          <cell r="V56">
            <v>5561</v>
          </cell>
          <cell r="W56">
            <v>2.9371437505017597E-2</v>
          </cell>
          <cell r="X56">
            <v>5885</v>
          </cell>
          <cell r="Y56">
            <v>3.0672944065788646E-2</v>
          </cell>
          <cell r="Z56">
            <v>6169</v>
          </cell>
          <cell r="AA56">
            <v>3.1448079826839295E-2</v>
          </cell>
          <cell r="AB56">
            <v>6234</v>
          </cell>
          <cell r="AC56">
            <v>3.1086532659808413E-2</v>
          </cell>
          <cell r="AD56">
            <v>6336</v>
          </cell>
          <cell r="AE56">
            <v>3.1488393127817232E-2</v>
          </cell>
        </row>
        <row r="57">
          <cell r="G57">
            <v>230868388.64999998</v>
          </cell>
          <cell r="H57">
            <v>313</v>
          </cell>
          <cell r="J57">
            <v>1481428474.1000001</v>
          </cell>
          <cell r="K57">
            <v>2254</v>
          </cell>
          <cell r="M57">
            <v>938821206.89999998</v>
          </cell>
          <cell r="N57">
            <v>5696</v>
          </cell>
          <cell r="S57" t="str">
            <v>Oregon</v>
          </cell>
          <cell r="T57">
            <v>2254</v>
          </cell>
          <cell r="U57">
            <v>1.1864263144513989E-2</v>
          </cell>
          <cell r="V57">
            <v>2248</v>
          </cell>
          <cell r="W57">
            <v>1.1873222713770825E-2</v>
          </cell>
          <cell r="X57">
            <v>2379</v>
          </cell>
          <cell r="Y57">
            <v>1.2399479002975562E-2</v>
          </cell>
          <cell r="Z57">
            <v>2479</v>
          </cell>
          <cell r="AA57">
            <v>1.263734639175468E-2</v>
          </cell>
          <cell r="AB57">
            <v>2513</v>
          </cell>
          <cell r="AC57">
            <v>1.2531353316345611E-2</v>
          </cell>
          <cell r="AD57">
            <v>2514</v>
          </cell>
          <cell r="AE57">
            <v>1.2493974167192633E-2</v>
          </cell>
        </row>
        <row r="58">
          <cell r="G58">
            <v>238708494.85599998</v>
          </cell>
          <cell r="H58">
            <v>299</v>
          </cell>
          <cell r="J58">
            <v>1611305885.4000001</v>
          </cell>
          <cell r="K58">
            <v>2248</v>
          </cell>
          <cell r="M58">
            <v>1005210320.2</v>
          </cell>
          <cell r="N58">
            <v>5561</v>
          </cell>
        </row>
        <row r="59">
          <cell r="G59">
            <v>318134630.06999993</v>
          </cell>
          <cell r="H59">
            <v>284</v>
          </cell>
          <cell r="J59">
            <v>1703912175.9000001</v>
          </cell>
          <cell r="K59">
            <v>2379</v>
          </cell>
          <cell r="M59">
            <v>1020262416.5</v>
          </cell>
          <cell r="N59">
            <v>5885</v>
          </cell>
          <cell r="R59" t="str">
            <v xml:space="preserve">  United States</v>
          </cell>
          <cell r="T59">
            <v>189982.3</v>
          </cell>
          <cell r="U59">
            <v>1</v>
          </cell>
          <cell r="V59">
            <v>189333.6</v>
          </cell>
          <cell r="W59">
            <v>1</v>
          </cell>
          <cell r="X59">
            <v>191862.9</v>
          </cell>
          <cell r="Y59">
            <v>1</v>
          </cell>
          <cell r="Z59">
            <v>196164.6</v>
          </cell>
          <cell r="AA59">
            <v>1</v>
          </cell>
          <cell r="AB59">
            <v>200537</v>
          </cell>
          <cell r="AC59">
            <v>1</v>
          </cell>
          <cell r="AD59">
            <v>201217</v>
          </cell>
          <cell r="AE59">
            <v>1</v>
          </cell>
        </row>
        <row r="60">
          <cell r="G60">
            <v>310634073.77999997</v>
          </cell>
          <cell r="H60">
            <v>288</v>
          </cell>
          <cell r="J60">
            <v>1822716919.9000001</v>
          </cell>
          <cell r="K60">
            <v>2479</v>
          </cell>
          <cell r="M60">
            <v>1129759628</v>
          </cell>
          <cell r="N60">
            <v>6169</v>
          </cell>
        </row>
        <row r="61">
          <cell r="G61">
            <v>320834983.16000003</v>
          </cell>
          <cell r="H61">
            <v>299</v>
          </cell>
          <cell r="J61">
            <v>1863138987.4000001</v>
          </cell>
          <cell r="K61">
            <v>2513</v>
          </cell>
          <cell r="M61">
            <v>1167452880</v>
          </cell>
          <cell r="N61">
            <v>6234</v>
          </cell>
          <cell r="R61" t="str">
            <v>Source:  USDA/NASS Annual Milk Production, Disposition, and Income (PDI) and  Milk Production, various years.</v>
          </cell>
        </row>
        <row r="62">
          <cell r="G62">
            <v>323015623.47000003</v>
          </cell>
          <cell r="H62">
            <v>298</v>
          </cell>
          <cell r="J62">
            <v>1934947194.0999999</v>
          </cell>
          <cell r="K62">
            <v>2514</v>
          </cell>
          <cell r="M62">
            <v>1221862862</v>
          </cell>
          <cell r="N62">
            <v>6336</v>
          </cell>
        </row>
        <row r="63">
          <cell r="G63">
            <v>319071472.87</v>
          </cell>
          <cell r="J63">
            <v>2020589620.3999999</v>
          </cell>
          <cell r="M63">
            <v>1302082730</v>
          </cell>
          <cell r="S63" t="str">
            <v>http://www.ers.usda.gov/data-products/dairy-data.aspx</v>
          </cell>
        </row>
        <row r="64">
          <cell r="G64">
            <v>320041493.44999999</v>
          </cell>
          <cell r="J64">
            <v>2083950219.9000001</v>
          </cell>
          <cell r="M64">
            <v>1366273724</v>
          </cell>
        </row>
        <row r="65">
          <cell r="G65">
            <v>321220236.61000001</v>
          </cell>
          <cell r="J65">
            <v>2146630229.3</v>
          </cell>
          <cell r="M65">
            <v>1436489624</v>
          </cell>
        </row>
        <row r="66">
          <cell r="G66">
            <v>317274315.14999998</v>
          </cell>
          <cell r="J66">
            <v>2204367746.5</v>
          </cell>
          <cell r="M66">
            <v>1503739491</v>
          </cell>
        </row>
        <row r="67">
          <cell r="G67">
            <v>317242678.67000002</v>
          </cell>
          <cell r="J67">
            <v>2262579257.1000004</v>
          </cell>
          <cell r="M67">
            <v>1577162726</v>
          </cell>
        </row>
        <row r="68">
          <cell r="G68">
            <v>314343281.5</v>
          </cell>
          <cell r="J68">
            <v>2319287101.8000002</v>
          </cell>
          <cell r="M68">
            <v>1639676320</v>
          </cell>
        </row>
        <row r="69">
          <cell r="G69">
            <v>315500155.42000002</v>
          </cell>
          <cell r="J69">
            <v>2377721823.3000002</v>
          </cell>
          <cell r="M69">
            <v>1705797870</v>
          </cell>
        </row>
        <row r="70">
          <cell r="G70">
            <v>316604185.17000002</v>
          </cell>
          <cell r="J70">
            <v>2439565476.5999999</v>
          </cell>
          <cell r="M70">
            <v>1761876129</v>
          </cell>
        </row>
        <row r="71">
          <cell r="G71">
            <v>314025803.90000004</v>
          </cell>
          <cell r="J71">
            <v>2511493504.3000002</v>
          </cell>
          <cell r="M71">
            <v>1832353919</v>
          </cell>
        </row>
        <row r="72">
          <cell r="G72">
            <v>312165770.96000004</v>
          </cell>
          <cell r="J72">
            <v>2591814073.3999996</v>
          </cell>
          <cell r="M72">
            <v>1885834558</v>
          </cell>
        </row>
        <row r="73">
          <cell r="G73">
            <v>316846772.75</v>
          </cell>
          <cell r="J73">
            <v>2679434278</v>
          </cell>
          <cell r="M73">
            <v>1950702973</v>
          </cell>
        </row>
        <row r="74">
          <cell r="G74">
            <v>317154017.94000006</v>
          </cell>
          <cell r="J74">
            <v>2774540250.3000002</v>
          </cell>
          <cell r="M74">
            <v>2024878252</v>
          </cell>
        </row>
        <row r="75">
          <cell r="G75">
            <v>317132831.70999998</v>
          </cell>
          <cell r="J75">
            <v>2879612349.6999998</v>
          </cell>
          <cell r="M75">
            <v>2106253871</v>
          </cell>
        </row>
        <row r="76">
          <cell r="G76">
            <v>329619379.67999995</v>
          </cell>
          <cell r="J76">
            <v>2984193071.1999998</v>
          </cell>
          <cell r="M76">
            <v>2193325448</v>
          </cell>
        </row>
        <row r="77">
          <cell r="G77">
            <v>331066865.50999999</v>
          </cell>
          <cell r="J77">
            <v>3092428874</v>
          </cell>
          <cell r="M77">
            <v>2273964959</v>
          </cell>
        </row>
        <row r="78">
          <cell r="G78">
            <v>333952763.74000001</v>
          </cell>
          <cell r="J78">
            <v>3202917778.5999999</v>
          </cell>
          <cell r="M78">
            <v>2356511431</v>
          </cell>
        </row>
        <row r="79">
          <cell r="G79">
            <v>338486759.89000005</v>
          </cell>
          <cell r="J79">
            <v>3332498384.6999998</v>
          </cell>
          <cell r="M79">
            <v>2435921000</v>
          </cell>
        </row>
        <row r="80">
          <cell r="G80">
            <v>344005985.83999997</v>
          </cell>
          <cell r="J80">
            <v>3442249037.4000001</v>
          </cell>
          <cell r="M80">
            <v>2531172713</v>
          </cell>
        </row>
        <row r="81">
          <cell r="G81">
            <v>344015536.36000001</v>
          </cell>
          <cell r="J81">
            <v>3565172330.5999999</v>
          </cell>
          <cell r="M81">
            <v>2621004345</v>
          </cell>
        </row>
        <row r="82">
          <cell r="G82">
            <v>352166717.38</v>
          </cell>
          <cell r="J82">
            <v>3708165815.2000003</v>
          </cell>
          <cell r="M82">
            <v>2698900541</v>
          </cell>
        </row>
        <row r="83">
          <cell r="G83">
            <v>360257472.30000007</v>
          </cell>
          <cell r="J83">
            <v>3837626194.8000002</v>
          </cell>
          <cell r="M83">
            <v>2796518159</v>
          </cell>
        </row>
        <row r="84">
          <cell r="G84">
            <v>360167672.44999999</v>
          </cell>
          <cell r="J84">
            <v>3986119730.8000002</v>
          </cell>
          <cell r="M84">
            <v>2869362843</v>
          </cell>
        </row>
        <row r="88">
          <cell r="G88" t="str">
            <v>Sales</v>
          </cell>
          <cell r="H88" t="str">
            <v>Production</v>
          </cell>
          <cell r="J88" t="str">
            <v>Oregon</v>
          </cell>
          <cell r="K88" t="str">
            <v>Sales</v>
          </cell>
          <cell r="L88" t="str">
            <v>Production</v>
          </cell>
          <cell r="N88" t="str">
            <v>Washington</v>
          </cell>
          <cell r="O88" t="str">
            <v>Sales</v>
          </cell>
          <cell r="P88" t="str">
            <v>Production</v>
          </cell>
        </row>
        <row r="89">
          <cell r="G89">
            <v>157.30607861199999</v>
          </cell>
          <cell r="H89">
            <v>295</v>
          </cell>
          <cell r="J89">
            <v>1997</v>
          </cell>
          <cell r="K89">
            <v>1023.1418448300001</v>
          </cell>
          <cell r="L89">
            <v>1610</v>
          </cell>
          <cell r="N89">
            <v>1997</v>
          </cell>
          <cell r="O89">
            <v>1273.4383057999999</v>
          </cell>
          <cell r="P89">
            <v>5305</v>
          </cell>
        </row>
        <row r="90">
          <cell r="G90">
            <v>158.988866479</v>
          </cell>
          <cell r="H90">
            <v>291</v>
          </cell>
          <cell r="J90">
            <v>1998</v>
          </cell>
          <cell r="K90">
            <v>1032.52602886</v>
          </cell>
          <cell r="L90">
            <v>1583</v>
          </cell>
          <cell r="N90">
            <v>1998</v>
          </cell>
          <cell r="O90">
            <v>1241.5095497</v>
          </cell>
          <cell r="P90">
            <v>5326</v>
          </cell>
        </row>
        <row r="91">
          <cell r="G91">
            <v>148.02265932499998</v>
          </cell>
          <cell r="H91">
            <v>303</v>
          </cell>
          <cell r="J91">
            <v>1999</v>
          </cell>
          <cell r="K91">
            <v>962.71582397999998</v>
          </cell>
          <cell r="L91">
            <v>1665</v>
          </cell>
          <cell r="N91">
            <v>1999</v>
          </cell>
          <cell r="O91">
            <v>1106.3392904000002</v>
          </cell>
          <cell r="P91">
            <v>5535</v>
          </cell>
        </row>
        <row r="92">
          <cell r="G92">
            <v>155.19695557400001</v>
          </cell>
          <cell r="H92">
            <v>338</v>
          </cell>
          <cell r="J92">
            <v>2000</v>
          </cell>
          <cell r="K92">
            <v>1076.0322892000002</v>
          </cell>
          <cell r="L92">
            <v>1640</v>
          </cell>
          <cell r="N92">
            <v>2000</v>
          </cell>
          <cell r="O92">
            <v>1131.1751904</v>
          </cell>
          <cell r="P92">
            <v>5593</v>
          </cell>
        </row>
        <row r="93">
          <cell r="G93">
            <v>150.79750691999999</v>
          </cell>
          <cell r="H93">
            <v>346</v>
          </cell>
          <cell r="J93">
            <v>2001</v>
          </cell>
          <cell r="K93">
            <v>1134.5532636399998</v>
          </cell>
          <cell r="L93">
            <v>1717</v>
          </cell>
          <cell r="N93">
            <v>2001</v>
          </cell>
          <cell r="O93">
            <v>972.92047739999998</v>
          </cell>
          <cell r="P93">
            <v>5514</v>
          </cell>
        </row>
        <row r="94">
          <cell r="G94">
            <v>196.68924050000001</v>
          </cell>
          <cell r="H94">
            <v>341</v>
          </cell>
          <cell r="J94">
            <v>2002</v>
          </cell>
          <cell r="K94">
            <v>1277.5685709000002</v>
          </cell>
          <cell r="L94">
            <v>2093</v>
          </cell>
          <cell r="N94">
            <v>2002</v>
          </cell>
          <cell r="O94">
            <v>1033.088739</v>
          </cell>
          <cell r="P94">
            <v>5620</v>
          </cell>
        </row>
        <row r="95">
          <cell r="G95">
            <v>190.67715915799999</v>
          </cell>
          <cell r="H95">
            <v>345</v>
          </cell>
          <cell r="J95">
            <v>2003</v>
          </cell>
          <cell r="K95">
            <v>1325.2822727999999</v>
          </cell>
          <cell r="L95">
            <v>2177</v>
          </cell>
          <cell r="N95">
            <v>2003</v>
          </cell>
          <cell r="O95">
            <v>855.70943899999997</v>
          </cell>
          <cell r="P95">
            <v>5581</v>
          </cell>
        </row>
        <row r="96">
          <cell r="G96">
            <v>182.34140683200002</v>
          </cell>
          <cell r="H96">
            <v>348</v>
          </cell>
          <cell r="J96">
            <v>2004</v>
          </cell>
          <cell r="K96">
            <v>1385.4606170999998</v>
          </cell>
          <cell r="L96">
            <v>2270</v>
          </cell>
          <cell r="N96">
            <v>2004</v>
          </cell>
          <cell r="O96">
            <v>854.66668200000004</v>
          </cell>
          <cell r="P96">
            <v>5416</v>
          </cell>
        </row>
        <row r="97">
          <cell r="G97">
            <v>229.85347461199999</v>
          </cell>
          <cell r="H97">
            <v>372</v>
          </cell>
          <cell r="J97">
            <v>2005</v>
          </cell>
          <cell r="K97">
            <v>1327.8432724000002</v>
          </cell>
          <cell r="L97">
            <v>2284</v>
          </cell>
          <cell r="N97">
            <v>2005</v>
          </cell>
          <cell r="O97">
            <v>802.09294550000004</v>
          </cell>
          <cell r="P97">
            <v>5608</v>
          </cell>
        </row>
        <row r="98">
          <cell r="G98">
            <v>168.29173371100001</v>
          </cell>
          <cell r="H98">
            <v>354</v>
          </cell>
          <cell r="J98">
            <v>2006</v>
          </cell>
          <cell r="K98">
            <v>1262.2795122999999</v>
          </cell>
          <cell r="L98">
            <v>2242</v>
          </cell>
          <cell r="N98">
            <v>2006</v>
          </cell>
          <cell r="O98">
            <v>821.69325489999994</v>
          </cell>
          <cell r="P98">
            <v>5464</v>
          </cell>
        </row>
        <row r="99">
          <cell r="G99">
            <v>185.04429419700003</v>
          </cell>
          <cell r="H99">
            <v>333</v>
          </cell>
          <cell r="I99">
            <v>333</v>
          </cell>
          <cell r="J99">
            <v>2007</v>
          </cell>
          <cell r="K99">
            <v>1527.4552772</v>
          </cell>
          <cell r="L99">
            <v>2233</v>
          </cell>
          <cell r="M99">
            <v>2233</v>
          </cell>
          <cell r="N99">
            <v>2007</v>
          </cell>
          <cell r="O99">
            <v>979.96983</v>
          </cell>
          <cell r="P99">
            <v>5531</v>
          </cell>
        </row>
        <row r="100">
          <cell r="G100">
            <v>230.86838864999999</v>
          </cell>
          <cell r="H100">
            <v>313</v>
          </cell>
          <cell r="I100">
            <v>313</v>
          </cell>
          <cell r="J100">
            <v>2008</v>
          </cell>
          <cell r="K100">
            <v>1481.4284741000001</v>
          </cell>
          <cell r="L100">
            <v>2254</v>
          </cell>
          <cell r="M100">
            <v>2254</v>
          </cell>
          <cell r="N100">
            <v>2008</v>
          </cell>
          <cell r="O100">
            <v>938.82120689999999</v>
          </cell>
          <cell r="P100">
            <v>5696</v>
          </cell>
        </row>
        <row r="101">
          <cell r="G101">
            <v>238.70849485599999</v>
          </cell>
          <cell r="H101">
            <v>299</v>
          </cell>
          <cell r="I101">
            <v>299</v>
          </cell>
          <cell r="J101">
            <v>2009</v>
          </cell>
          <cell r="K101">
            <v>1611.3058854000001</v>
          </cell>
          <cell r="L101">
            <v>2248</v>
          </cell>
          <cell r="M101">
            <v>2248</v>
          </cell>
          <cell r="N101">
            <v>2009</v>
          </cell>
          <cell r="O101">
            <v>1005.2103202000001</v>
          </cell>
          <cell r="P101">
            <v>5561</v>
          </cell>
        </row>
        <row r="102">
          <cell r="G102">
            <v>318.13463006999996</v>
          </cell>
          <cell r="H102">
            <v>284</v>
          </cell>
          <cell r="I102">
            <v>284</v>
          </cell>
          <cell r="J102">
            <v>2010</v>
          </cell>
          <cell r="K102">
            <v>1703.9121759000002</v>
          </cell>
          <cell r="L102">
            <v>2379</v>
          </cell>
          <cell r="M102">
            <v>2379</v>
          </cell>
          <cell r="N102">
            <v>2010</v>
          </cell>
          <cell r="O102">
            <v>1020.2624165</v>
          </cell>
          <cell r="P102">
            <v>5885</v>
          </cell>
        </row>
        <row r="103">
          <cell r="G103">
            <v>310.63407377999999</v>
          </cell>
          <cell r="H103">
            <v>288</v>
          </cell>
          <cell r="I103">
            <v>288</v>
          </cell>
          <cell r="J103">
            <v>2011</v>
          </cell>
          <cell r="K103">
            <v>1822.7169199</v>
          </cell>
          <cell r="L103">
            <v>2479</v>
          </cell>
          <cell r="M103">
            <v>2479</v>
          </cell>
          <cell r="N103">
            <v>2011</v>
          </cell>
          <cell r="O103">
            <v>1129.759628</v>
          </cell>
          <cell r="P103">
            <v>6169</v>
          </cell>
        </row>
        <row r="104">
          <cell r="G104">
            <v>320.83498316000004</v>
          </cell>
          <cell r="H104">
            <v>299</v>
          </cell>
          <cell r="I104">
            <v>299</v>
          </cell>
          <cell r="J104">
            <v>2012</v>
          </cell>
          <cell r="K104">
            <v>1863.1389874000001</v>
          </cell>
          <cell r="L104">
            <v>2513</v>
          </cell>
          <cell r="M104">
            <v>2513</v>
          </cell>
          <cell r="N104">
            <v>2012</v>
          </cell>
          <cell r="O104">
            <v>1167.4528800000001</v>
          </cell>
          <cell r="P104">
            <v>6234</v>
          </cell>
        </row>
        <row r="105">
          <cell r="G105">
            <v>323.01562347000004</v>
          </cell>
          <cell r="H105">
            <v>298</v>
          </cell>
          <cell r="I105">
            <v>298</v>
          </cell>
          <cell r="J105">
            <v>2013</v>
          </cell>
          <cell r="K105">
            <v>1934.9471940999999</v>
          </cell>
          <cell r="L105">
            <v>2514</v>
          </cell>
          <cell r="M105">
            <v>2514</v>
          </cell>
          <cell r="N105">
            <v>2013</v>
          </cell>
          <cell r="O105">
            <v>1221.862862</v>
          </cell>
          <cell r="P105">
            <v>6336</v>
          </cell>
        </row>
        <row r="106">
          <cell r="G106">
            <v>319.07147286999998</v>
          </cell>
          <cell r="H106">
            <v>302.76131756126233</v>
          </cell>
          <cell r="I106">
            <v>299.47815459668072</v>
          </cell>
          <cell r="J106">
            <v>2014</v>
          </cell>
          <cell r="K106">
            <v>2020.5896203999998</v>
          </cell>
          <cell r="L106">
            <v>2659.4969224070219</v>
          </cell>
          <cell r="M106">
            <v>2721.6170570166196</v>
          </cell>
          <cell r="N106">
            <v>2014</v>
          </cell>
          <cell r="O106">
            <v>1302.0827300000001</v>
          </cell>
          <cell r="P106">
            <v>6195.1650315784418</v>
          </cell>
        </row>
        <row r="107">
          <cell r="G107">
            <v>320.04149344999996</v>
          </cell>
          <cell r="H107">
            <v>302.63604149212875</v>
          </cell>
          <cell r="I107">
            <v>299.28188401669991</v>
          </cell>
          <cell r="J107">
            <v>2015</v>
          </cell>
          <cell r="K107">
            <v>2083.9502199000003</v>
          </cell>
          <cell r="L107">
            <v>2702.7077118393454</v>
          </cell>
          <cell r="M107">
            <v>2783.5952297346525</v>
          </cell>
          <cell r="N107">
            <v>2015</v>
          </cell>
          <cell r="O107">
            <v>1366.2737239999999</v>
          </cell>
          <cell r="P107">
            <v>6297.8724834735058</v>
          </cell>
        </row>
        <row r="108">
          <cell r="G108">
            <v>321.22023661000003</v>
          </cell>
          <cell r="H108">
            <v>302.4843194019968</v>
          </cell>
          <cell r="I108">
            <v>299.0433812380665</v>
          </cell>
          <cell r="J108">
            <v>2016</v>
          </cell>
          <cell r="K108">
            <v>2146.6302292999999</v>
          </cell>
          <cell r="L108">
            <v>2744.180551622544</v>
          </cell>
          <cell r="M108">
            <v>2844.9076617384098</v>
          </cell>
          <cell r="N108">
            <v>2016</v>
          </cell>
          <cell r="O108">
            <v>1436.489624</v>
          </cell>
          <cell r="P108">
            <v>6410.2199596867358</v>
          </cell>
        </row>
        <row r="109">
          <cell r="G109">
            <v>317.27431514999995</v>
          </cell>
          <cell r="H109">
            <v>302.9944263448574</v>
          </cell>
          <cell r="I109">
            <v>299.84178521987985</v>
          </cell>
          <cell r="J109">
            <v>2017</v>
          </cell>
          <cell r="K109">
            <v>2204.3677465000001</v>
          </cell>
          <cell r="L109">
            <v>2781.3253166710429</v>
          </cell>
          <cell r="M109">
            <v>2901.3854388044556</v>
          </cell>
          <cell r="N109">
            <v>2017</v>
          </cell>
          <cell r="O109">
            <v>1503.739491</v>
          </cell>
          <cell r="P109">
            <v>6517.8216970870308</v>
          </cell>
        </row>
        <row r="110">
          <cell r="G110">
            <v>317.24267867000003</v>
          </cell>
          <cell r="H110">
            <v>302.99854171936556</v>
          </cell>
          <cell r="I110">
            <v>299.84818643487068</v>
          </cell>
          <cell r="J110">
            <v>2018</v>
          </cell>
          <cell r="K110">
            <v>2262.5792571000002</v>
          </cell>
          <cell r="L110">
            <v>2817.8028576592669</v>
          </cell>
          <cell r="M110">
            <v>2958.3268674938163</v>
          </cell>
          <cell r="N110">
            <v>2018</v>
          </cell>
          <cell r="O110">
            <v>1577.162726</v>
          </cell>
          <cell r="P110">
            <v>6635.301002310789</v>
          </cell>
        </row>
        <row r="111">
          <cell r="G111">
            <v>314.34328149999999</v>
          </cell>
          <cell r="H111">
            <v>303.37745755767685</v>
          </cell>
          <cell r="I111">
            <v>300.4348403429255</v>
          </cell>
          <cell r="J111">
            <v>2019</v>
          </cell>
          <cell r="K111">
            <v>2319.2871018000001</v>
          </cell>
          <cell r="L111">
            <v>2852.4466796581391</v>
          </cell>
          <cell r="M111">
            <v>3013.7974378643494</v>
          </cell>
          <cell r="N111">
            <v>2019</v>
          </cell>
          <cell r="O111">
            <v>1639.67632</v>
          </cell>
          <cell r="P111">
            <v>6735.3245655623969</v>
          </cell>
        </row>
        <row r="112">
          <cell r="G112">
            <v>315.50015542</v>
          </cell>
          <cell r="H112">
            <v>303.22585086442132</v>
          </cell>
          <cell r="I112">
            <v>300.20076251001694</v>
          </cell>
          <cell r="J112">
            <v>2020</v>
          </cell>
          <cell r="K112">
            <v>2377.7218233000003</v>
          </cell>
          <cell r="L112">
            <v>2887.2703785501863</v>
          </cell>
          <cell r="M112">
            <v>3070.9572073494401</v>
          </cell>
          <cell r="N112">
            <v>2020</v>
          </cell>
          <cell r="O112">
            <v>1705.7978700000001</v>
          </cell>
          <cell r="P112">
            <v>6841.1209630422682</v>
          </cell>
        </row>
        <row r="113">
          <cell r="G113">
            <v>316.60418516999999</v>
          </cell>
          <cell r="H113">
            <v>303.08168683583153</v>
          </cell>
          <cell r="I113">
            <v>299.97737698210523</v>
          </cell>
          <cell r="J113">
            <v>2021</v>
          </cell>
          <cell r="K113">
            <v>2439.5654765999998</v>
          </cell>
          <cell r="L113">
            <v>2923.2055190854799</v>
          </cell>
          <cell r="M113">
            <v>3131.4515312035173</v>
          </cell>
          <cell r="N113">
            <v>2021</v>
          </cell>
          <cell r="O113">
            <v>1761.876129</v>
          </cell>
          <cell r="P113">
            <v>6930.8478036735478</v>
          </cell>
        </row>
        <row r="114">
          <cell r="G114">
            <v>314.02580390000003</v>
          </cell>
          <cell r="H114">
            <v>303.41916012380017</v>
          </cell>
          <cell r="I114">
            <v>300.49907765290391</v>
          </cell>
          <cell r="J114">
            <v>2022</v>
          </cell>
          <cell r="K114">
            <v>2511.4935043</v>
          </cell>
          <cell r="L114">
            <v>2963.8717110873577</v>
          </cell>
          <cell r="M114">
            <v>3201.8102045626301</v>
          </cell>
          <cell r="N114">
            <v>2022</v>
          </cell>
          <cell r="O114">
            <v>1832.3539189999999</v>
          </cell>
          <cell r="P114">
            <v>7043.6143114814095</v>
          </cell>
        </row>
        <row r="115">
          <cell r="G115">
            <v>312.16577096000003</v>
          </cell>
          <cell r="H115">
            <v>303.66433680226078</v>
          </cell>
          <cell r="I115">
            <v>300.87543022876076</v>
          </cell>
          <cell r="J115">
            <v>2023</v>
          </cell>
          <cell r="K115">
            <v>2591.8140733999994</v>
          </cell>
          <cell r="L115">
            <v>3007.9285968792492</v>
          </cell>
          <cell r="M115">
            <v>3280.3783075126412</v>
          </cell>
          <cell r="N115">
            <v>2023</v>
          </cell>
          <cell r="O115">
            <v>1885.834558</v>
          </cell>
          <cell r="P115">
            <v>7129.184884783479</v>
          </cell>
        </row>
        <row r="116">
          <cell r="G116">
            <v>316.84677275000001</v>
          </cell>
          <cell r="H116">
            <v>303.05007715937325</v>
          </cell>
          <cell r="I116">
            <v>299.9282926574997</v>
          </cell>
          <cell r="J116">
            <v>2024</v>
          </cell>
          <cell r="K116">
            <v>2679.4342780000002</v>
          </cell>
          <cell r="L116">
            <v>3054.4586648127197</v>
          </cell>
          <cell r="M116">
            <v>3366.0867796095345</v>
          </cell>
          <cell r="N116">
            <v>2024</v>
          </cell>
          <cell r="O116">
            <v>1950.7029729999999</v>
          </cell>
          <cell r="P116">
            <v>7232.9762299232898</v>
          </cell>
        </row>
        <row r="117">
          <cell r="G117">
            <v>317.15401794000007</v>
          </cell>
          <cell r="H117">
            <v>303.01007717776395</v>
          </cell>
          <cell r="I117">
            <v>299.86612573766217</v>
          </cell>
          <cell r="J117">
            <v>2025</v>
          </cell>
          <cell r="K117">
            <v>2774.5402503</v>
          </cell>
          <cell r="L117">
            <v>3103.2723514737127</v>
          </cell>
          <cell r="M117">
            <v>3459.1176919468744</v>
          </cell>
          <cell r="N117">
            <v>2025</v>
          </cell>
          <cell r="O117">
            <v>2024.878252</v>
          </cell>
          <cell r="P117">
            <v>7351.6588273558118</v>
          </cell>
        </row>
        <row r="118">
          <cell r="G118">
            <v>317.13283171</v>
          </cell>
          <cell r="H118">
            <v>303.01283415030065</v>
          </cell>
          <cell r="I118">
            <v>299.87041248552657</v>
          </cell>
          <cell r="J118">
            <v>2026</v>
          </cell>
          <cell r="K118">
            <v>2879.6123496999999</v>
          </cell>
          <cell r="L118">
            <v>3155.2926430989965</v>
          </cell>
          <cell r="M118">
            <v>3561.8972864559109</v>
          </cell>
          <cell r="N118">
            <v>2026</v>
          </cell>
          <cell r="O118">
            <v>2106.2538709999999</v>
          </cell>
          <cell r="P118">
            <v>7481.8621775932852</v>
          </cell>
        </row>
        <row r="119">
          <cell r="G119">
            <v>329.61937967999995</v>
          </cell>
          <cell r="H119">
            <v>301.41907423058802</v>
          </cell>
          <cell r="I119">
            <v>297.34392793194127</v>
          </cell>
          <cell r="J119">
            <v>2027</v>
          </cell>
          <cell r="K119">
            <v>2984.1930711999998</v>
          </cell>
          <cell r="L119">
            <v>3205.2179835947745</v>
          </cell>
          <cell r="M119">
            <v>3664.196224143574</v>
          </cell>
          <cell r="N119">
            <v>2027</v>
          </cell>
          <cell r="O119">
            <v>2193.3254480000001</v>
          </cell>
          <cell r="P119">
            <v>7621.1792258096575</v>
          </cell>
        </row>
        <row r="120">
          <cell r="G120">
            <v>331.06686551000001</v>
          </cell>
          <cell r="H120">
            <v>301.23823851251768</v>
          </cell>
          <cell r="I120">
            <v>297.05104869904079</v>
          </cell>
          <cell r="J120">
            <v>2028</v>
          </cell>
          <cell r="K120">
            <v>3092.4288740000002</v>
          </cell>
          <cell r="L120">
            <v>3255.0785902298294</v>
          </cell>
          <cell r="M120">
            <v>3770.070495112448</v>
          </cell>
          <cell r="N120">
            <v>2028</v>
          </cell>
          <cell r="O120">
            <v>2273.9649589999999</v>
          </cell>
          <cell r="P120">
            <v>7750.2047819005002</v>
          </cell>
        </row>
        <row r="121">
          <cell r="G121">
            <v>333.95276374000002</v>
          </cell>
          <cell r="H121">
            <v>300.88004828067164</v>
          </cell>
          <cell r="I121">
            <v>296.46712611941098</v>
          </cell>
          <cell r="J121">
            <v>2029</v>
          </cell>
          <cell r="K121">
            <v>3202.9177786</v>
          </cell>
          <cell r="L121">
            <v>3304.2085620815005</v>
          </cell>
          <cell r="M121">
            <v>3878.1487088093527</v>
          </cell>
          <cell r="N121">
            <v>2029</v>
          </cell>
          <cell r="O121">
            <v>2356.5114309999999</v>
          </cell>
          <cell r="P121">
            <v>7882.2815308919107</v>
          </cell>
        </row>
        <row r="122">
          <cell r="G122">
            <v>338.48675989000003</v>
          </cell>
          <cell r="H122">
            <v>300.32350497753021</v>
          </cell>
          <cell r="I122">
            <v>295.54973315647896</v>
          </cell>
          <cell r="J122">
            <v>2030</v>
          </cell>
          <cell r="K122">
            <v>3332.4983846999999</v>
          </cell>
          <cell r="L122">
            <v>3359.7128554945239</v>
          </cell>
          <cell r="M122">
            <v>4004.90207366306</v>
          </cell>
          <cell r="N122">
            <v>2030</v>
          </cell>
          <cell r="O122">
            <v>2435.9209999999998</v>
          </cell>
          <cell r="P122">
            <v>8009.3391441152744</v>
          </cell>
        </row>
        <row r="123">
          <cell r="G123">
            <v>344.00598583999999</v>
          </cell>
          <cell r="H123">
            <v>299.65600067965477</v>
          </cell>
          <cell r="I123">
            <v>294.43299223305291</v>
          </cell>
          <cell r="J123">
            <v>2031</v>
          </cell>
          <cell r="K123">
            <v>3442.2490373999999</v>
          </cell>
          <cell r="L123">
            <v>3405.0605171911329</v>
          </cell>
          <cell r="M123">
            <v>4112.258142933797</v>
          </cell>
          <cell r="N123">
            <v>2031</v>
          </cell>
          <cell r="O123">
            <v>2531.1727129999999</v>
          </cell>
          <cell r="P123">
            <v>8161.7446471500134</v>
          </cell>
        </row>
        <row r="124">
          <cell r="G124">
            <v>344.01553636</v>
          </cell>
          <cell r="H124">
            <v>299.65485493072765</v>
          </cell>
          <cell r="I124">
            <v>294.43105981415562</v>
          </cell>
          <cell r="K124">
            <v>3565.1723305999999</v>
          </cell>
          <cell r="L124">
            <v>3454.1652559274162</v>
          </cell>
          <cell r="M124">
            <v>4232.4994467904453</v>
          </cell>
          <cell r="N124">
            <v>2032</v>
          </cell>
          <cell r="O124">
            <v>2621.0043449999998</v>
          </cell>
          <cell r="P124">
            <v>8305.4778634060985</v>
          </cell>
        </row>
        <row r="125">
          <cell r="G125">
            <v>352.16671738000002</v>
          </cell>
          <cell r="H125">
            <v>298.68839934499135</v>
          </cell>
          <cell r="I125">
            <v>292.78177828414539</v>
          </cell>
          <cell r="K125">
            <v>3708.1658152000005</v>
          </cell>
          <cell r="L125">
            <v>3509.2005551615157</v>
          </cell>
          <cell r="M125">
            <v>4372.3730426217498</v>
          </cell>
          <cell r="N125">
            <v>2033</v>
          </cell>
          <cell r="O125">
            <v>2698.900541</v>
          </cell>
          <cell r="P125">
            <v>8430.1140359426772</v>
          </cell>
        </row>
        <row r="126">
          <cell r="G126">
            <v>360.25747230000007</v>
          </cell>
          <cell r="H126">
            <v>297.75098083368539</v>
          </cell>
          <cell r="I126">
            <v>291.14472316039655</v>
          </cell>
          <cell r="K126">
            <v>3837.6261948000001</v>
          </cell>
          <cell r="L126">
            <v>3557.2266817524842</v>
          </cell>
          <cell r="M126">
            <v>4499.0088041250929</v>
          </cell>
          <cell r="N126">
            <v>2034</v>
          </cell>
          <cell r="O126">
            <v>2796.5181590000002</v>
          </cell>
          <cell r="P126">
            <v>8586.3050555870468</v>
          </cell>
        </row>
        <row r="127">
          <cell r="G127">
            <v>360.16767245</v>
          </cell>
          <cell r="H127">
            <v>297.76126931363558</v>
          </cell>
          <cell r="I127">
            <v>291.16289294875475</v>
          </cell>
          <cell r="K127">
            <v>3986.1197308000001</v>
          </cell>
          <cell r="L127">
            <v>3610.3576666465606</v>
          </cell>
          <cell r="M127">
            <v>4644.2624490455355</v>
          </cell>
          <cell r="N127">
            <v>2035</v>
          </cell>
          <cell r="O127">
            <v>2869.3628429999999</v>
          </cell>
          <cell r="P127">
            <v>8702.858662433222</v>
          </cell>
        </row>
        <row r="156">
          <cell r="G156">
            <v>2017</v>
          </cell>
          <cell r="H156">
            <v>2018</v>
          </cell>
          <cell r="I156">
            <v>2019</v>
          </cell>
          <cell r="J156">
            <v>2020</v>
          </cell>
          <cell r="K156">
            <v>2021</v>
          </cell>
          <cell r="L156">
            <v>2022</v>
          </cell>
          <cell r="M156">
            <v>2023</v>
          </cell>
          <cell r="N156">
            <v>2024</v>
          </cell>
          <cell r="O156">
            <v>2025</v>
          </cell>
          <cell r="P156">
            <v>2026</v>
          </cell>
          <cell r="Q156">
            <v>2027</v>
          </cell>
          <cell r="R156">
            <v>2028</v>
          </cell>
          <cell r="S156">
            <v>2029</v>
          </cell>
          <cell r="T156">
            <v>2030</v>
          </cell>
          <cell r="U156">
            <v>2031</v>
          </cell>
          <cell r="V156">
            <v>2032</v>
          </cell>
          <cell r="W156">
            <v>2033</v>
          </cell>
          <cell r="X156">
            <v>2034</v>
          </cell>
          <cell r="Y156">
            <v>2035</v>
          </cell>
        </row>
        <row r="157">
          <cell r="C157">
            <v>13431</v>
          </cell>
          <cell r="D157">
            <v>13281.02775487247</v>
          </cell>
          <cell r="E157">
            <v>13441.999291112326</v>
          </cell>
          <cell r="G157">
            <v>13842.907114251881</v>
          </cell>
          <cell r="H157">
            <v>14023.216425344392</v>
          </cell>
          <cell r="I157">
            <v>14266.319353967396</v>
          </cell>
          <cell r="J157">
            <v>14513.683501515552</v>
          </cell>
          <cell r="K157">
            <v>14784.738793280194</v>
          </cell>
          <cell r="L157">
            <v>15048.82150982591</v>
          </cell>
          <cell r="M157">
            <v>15351.081667959821</v>
          </cell>
          <cell r="N157">
            <v>15676.70161423125</v>
          </cell>
          <cell r="O157">
            <v>16022.910400199034</v>
          </cell>
          <cell r="P157">
            <v>16435.334001552066</v>
          </cell>
          <cell r="Q157">
            <v>16796.9270935268</v>
          </cell>
          <cell r="R157">
            <v>17186.008838626629</v>
          </cell>
          <cell r="S157">
            <v>17509.663776252026</v>
          </cell>
          <cell r="T157">
            <v>17849.045518001847</v>
          </cell>
          <cell r="U157">
            <v>18205.116228437721</v>
          </cell>
          <cell r="V157">
            <v>18533.843580326749</v>
          </cell>
          <cell r="W157">
            <v>18839.457555909743</v>
          </cell>
          <cell r="X157">
            <v>19186.22471079613</v>
          </cell>
          <cell r="Y157">
            <v>19422.392838095242</v>
          </cell>
        </row>
        <row r="158">
          <cell r="C158">
            <v>89.399999999999991</v>
          </cell>
          <cell r="D158">
            <v>90.828395268378699</v>
          </cell>
          <cell r="E158">
            <v>90.790812447638629</v>
          </cell>
          <cell r="G158">
            <v>90.898327903457215</v>
          </cell>
          <cell r="H158">
            <v>90.899562515809663</v>
          </cell>
          <cell r="I158">
            <v>91.013237267303055</v>
          </cell>
          <cell r="J158">
            <v>90.967755259326395</v>
          </cell>
          <cell r="K158">
            <v>90.924506050749457</v>
          </cell>
          <cell r="L158">
            <v>91.025748037140048</v>
          </cell>
          <cell r="M158">
            <v>91.099301040678228</v>
          </cell>
          <cell r="N158">
            <v>90.915023147811965</v>
          </cell>
          <cell r="O158">
            <v>90.903023153329187</v>
          </cell>
          <cell r="P158">
            <v>90.903850245090197</v>
          </cell>
          <cell r="Q158">
            <v>90.425722269176404</v>
          </cell>
          <cell r="R158">
            <v>90.371471553755299</v>
          </cell>
          <cell r="S158">
            <v>90.264014484201496</v>
          </cell>
          <cell r="T158">
            <v>90.097051493259059</v>
          </cell>
          <cell r="U158">
            <v>89.896800203896433</v>
          </cell>
          <cell r="V158">
            <v>89.896456479218287</v>
          </cell>
          <cell r="W158">
            <v>89.606519803497406</v>
          </cell>
          <cell r="X158">
            <v>89.325294250105614</v>
          </cell>
          <cell r="Y158">
            <v>89.328380794090677</v>
          </cell>
        </row>
        <row r="159">
          <cell r="C159">
            <v>2514</v>
          </cell>
          <cell r="D159">
            <v>2659.4969224070219</v>
          </cell>
          <cell r="E159">
            <v>2702.7077118393454</v>
          </cell>
          <cell r="G159">
            <v>2781.3253166710429</v>
          </cell>
          <cell r="H159">
            <v>2817.8028576592669</v>
          </cell>
          <cell r="I159">
            <v>2852.4466796581391</v>
          </cell>
          <cell r="J159">
            <v>2887.2703785501863</v>
          </cell>
          <cell r="K159">
            <v>2923.2055190854799</v>
          </cell>
          <cell r="L159">
            <v>2963.8717110873577</v>
          </cell>
          <cell r="M159">
            <v>3007.9285968792492</v>
          </cell>
          <cell r="N159">
            <v>3054.4586648127197</v>
          </cell>
          <cell r="O159">
            <v>3103.2723514737127</v>
          </cell>
          <cell r="P159">
            <v>3155.2926430989965</v>
          </cell>
          <cell r="Q159">
            <v>3205.2179835947745</v>
          </cell>
          <cell r="R159">
            <v>3255.0785902298294</v>
          </cell>
          <cell r="S159">
            <v>3304.2085620815005</v>
          </cell>
          <cell r="T159">
            <v>3359.7128554945239</v>
          </cell>
          <cell r="U159">
            <v>3405.0605171911329</v>
          </cell>
          <cell r="V159">
            <v>3454.1652559274162</v>
          </cell>
          <cell r="W159">
            <v>3509.2005551615157</v>
          </cell>
          <cell r="X159">
            <v>3557.2266817524842</v>
          </cell>
          <cell r="Y159">
            <v>3610.3576666465606</v>
          </cell>
        </row>
        <row r="160">
          <cell r="C160">
            <v>6336</v>
          </cell>
          <cell r="D160">
            <v>6197.0330177629821</v>
          </cell>
          <cell r="E160">
            <v>6302.2853957795269</v>
          </cell>
          <cell r="G160">
            <v>6527.6845985495966</v>
          </cell>
          <cell r="H160">
            <v>6648.0748527559354</v>
          </cell>
          <cell r="I160">
            <v>6750.5768396680051</v>
          </cell>
          <cell r="J160">
            <v>6858.9947023924851</v>
          </cell>
          <cell r="K160">
            <v>6950.9448303929594</v>
          </cell>
          <cell r="L160">
            <v>7066.5055116132971</v>
          </cell>
          <cell r="M160">
            <v>7154.1963866384513</v>
          </cell>
          <cell r="N160">
            <v>7260.5595150379595</v>
          </cell>
          <cell r="O160">
            <v>7382.1828771063319</v>
          </cell>
          <cell r="P160">
            <v>7515.612457778011</v>
          </cell>
          <cell r="Q160">
            <v>7658.3815592644387</v>
          </cell>
          <cell r="R160">
            <v>7790.6041619373518</v>
          </cell>
          <cell r="S160">
            <v>7925.9535611829233</v>
          </cell>
          <cell r="T160">
            <v>8056.1594585167277</v>
          </cell>
          <cell r="U160">
            <v>8212.3413257643278</v>
          </cell>
          <cell r="V160">
            <v>8359.6360208598271</v>
          </cell>
          <cell r="W160">
            <v>8487.3604780857568</v>
          </cell>
          <cell r="X160">
            <v>8647.4216609802097</v>
          </cell>
          <cell r="Y160">
            <v>8766.8632794861296</v>
          </cell>
        </row>
        <row r="161">
          <cell r="G161">
            <v>23242.815357375977</v>
          </cell>
          <cell r="H161">
            <v>23579.993698275401</v>
          </cell>
          <cell r="I161">
            <v>23960.356110560846</v>
          </cell>
          <cell r="J161">
            <v>24350.91633771755</v>
          </cell>
          <cell r="K161">
            <v>24749.813648809384</v>
          </cell>
          <cell r="L161">
            <v>25170.224480563706</v>
          </cell>
          <cell r="M161">
            <v>25604.3059525182</v>
          </cell>
          <cell r="N161">
            <v>26082.63481722974</v>
          </cell>
          <cell r="O161">
            <v>26599.268651932405</v>
          </cell>
          <cell r="P161">
            <v>27197.142952674163</v>
          </cell>
          <cell r="Q161">
            <v>27750.952358655191</v>
          </cell>
          <cell r="R161">
            <v>28322.063062347566</v>
          </cell>
          <cell r="S161">
            <v>28830.089914000651</v>
          </cell>
          <cell r="T161">
            <v>29355.014883506359</v>
          </cell>
          <cell r="U161">
            <v>29912.41487159708</v>
          </cell>
          <cell r="V161">
            <v>30437.54131359321</v>
          </cell>
          <cell r="W161">
            <v>30925.62510896051</v>
          </cell>
          <cell r="X161">
            <v>31480.198347778929</v>
          </cell>
          <cell r="Y161">
            <v>31888.942165022021</v>
          </cell>
          <cell r="AB161">
            <v>0</v>
          </cell>
        </row>
      </sheetData>
      <sheetData sheetId="20">
        <row r="3">
          <cell r="H3">
            <v>2018</v>
          </cell>
        </row>
      </sheetData>
      <sheetData sheetId="21">
        <row r="3">
          <cell r="H3">
            <v>2018</v>
          </cell>
        </row>
      </sheetData>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dimension ref="C1:F27"/>
  <sheetViews>
    <sheetView workbookViewId="0">
      <selection activeCell="C33" sqref="C33"/>
    </sheetView>
  </sheetViews>
  <sheetFormatPr defaultRowHeight="15"/>
  <cols>
    <col min="1" max="1" width="4" style="554" customWidth="1"/>
    <col min="2" max="2" width="4.28515625" style="554" customWidth="1"/>
    <col min="3" max="3" width="28.140625" style="554" customWidth="1"/>
    <col min="4" max="4" width="74.42578125" style="554" customWidth="1"/>
    <col min="5" max="5" width="44.7109375" style="554" customWidth="1"/>
    <col min="6" max="6" width="31.5703125" style="554" customWidth="1"/>
    <col min="7" max="16384" width="9.140625" style="554"/>
  </cols>
  <sheetData>
    <row r="1" spans="3:6" ht="15.75" thickBot="1"/>
    <row r="2" spans="3:6" ht="19.5" thickBot="1">
      <c r="C2" s="555" t="s">
        <v>489</v>
      </c>
      <c r="D2" s="556" t="s">
        <v>165</v>
      </c>
      <c r="E2" s="556"/>
      <c r="F2" s="557"/>
    </row>
    <row r="3" spans="3:6">
      <c r="C3" s="558" t="s">
        <v>490</v>
      </c>
      <c r="D3" s="558" t="s">
        <v>501</v>
      </c>
      <c r="E3" s="558" t="s">
        <v>502</v>
      </c>
      <c r="F3" s="558" t="s">
        <v>503</v>
      </c>
    </row>
    <row r="4" spans="3:6">
      <c r="C4" s="559" t="s">
        <v>491</v>
      </c>
      <c r="D4" s="560" t="s">
        <v>504</v>
      </c>
      <c r="E4" s="561"/>
      <c r="F4" s="562" t="s">
        <v>505</v>
      </c>
    </row>
    <row r="5" spans="3:6" ht="30">
      <c r="C5" s="559" t="s">
        <v>492</v>
      </c>
      <c r="D5" s="563" t="s">
        <v>506</v>
      </c>
      <c r="E5" s="561"/>
      <c r="F5" s="562" t="s">
        <v>505</v>
      </c>
    </row>
    <row r="6" spans="3:6" ht="30">
      <c r="C6" s="559" t="s">
        <v>493</v>
      </c>
      <c r="D6" s="563" t="s">
        <v>511</v>
      </c>
      <c r="E6" s="563"/>
      <c r="F6" s="562" t="s">
        <v>505</v>
      </c>
    </row>
    <row r="7" spans="3:6">
      <c r="C7" s="559" t="s">
        <v>494</v>
      </c>
      <c r="D7" s="563" t="s">
        <v>543</v>
      </c>
      <c r="E7" s="563"/>
      <c r="F7" s="562" t="s">
        <v>505</v>
      </c>
    </row>
    <row r="8" spans="3:6">
      <c r="C8" s="559" t="s">
        <v>495</v>
      </c>
      <c r="D8" s="563"/>
      <c r="E8" s="564"/>
      <c r="F8" s="562" t="s">
        <v>505</v>
      </c>
    </row>
    <row r="9" spans="3:6">
      <c r="C9" s="559" t="s">
        <v>496</v>
      </c>
      <c r="D9" s="563" t="s">
        <v>544</v>
      </c>
      <c r="E9" s="564"/>
      <c r="F9" s="562" t="s">
        <v>505</v>
      </c>
    </row>
    <row r="10" spans="3:6">
      <c r="C10" s="559" t="s">
        <v>497</v>
      </c>
      <c r="D10" s="563" t="s">
        <v>545</v>
      </c>
      <c r="E10" s="563"/>
      <c r="F10" s="562" t="s">
        <v>505</v>
      </c>
    </row>
    <row r="11" spans="3:6">
      <c r="C11" s="559" t="s">
        <v>498</v>
      </c>
      <c r="D11" s="565" t="s">
        <v>546</v>
      </c>
      <c r="E11" s="564"/>
      <c r="F11" s="562" t="s">
        <v>505</v>
      </c>
    </row>
    <row r="12" spans="3:6">
      <c r="C12" s="559" t="s">
        <v>499</v>
      </c>
      <c r="D12" s="565" t="s">
        <v>547</v>
      </c>
      <c r="E12" s="566"/>
      <c r="F12" s="562" t="s">
        <v>505</v>
      </c>
    </row>
    <row r="13" spans="3:6">
      <c r="C13" s="559" t="s">
        <v>500</v>
      </c>
      <c r="D13" s="565"/>
      <c r="E13" s="564"/>
      <c r="F13" s="562" t="s">
        <v>505</v>
      </c>
    </row>
    <row r="21" spans="3:3">
      <c r="C21" s="567"/>
    </row>
    <row r="22" spans="3:3">
      <c r="C22" s="567"/>
    </row>
    <row r="23" spans="3:3">
      <c r="C23" s="567"/>
    </row>
    <row r="24" spans="3:3">
      <c r="C24" s="567"/>
    </row>
    <row r="25" spans="3:3">
      <c r="C25" s="567"/>
    </row>
    <row r="26" spans="3:3">
      <c r="C26" s="567"/>
    </row>
    <row r="27" spans="3:3">
      <c r="C27" s="56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9"/>
  <dimension ref="A1:AW142"/>
  <sheetViews>
    <sheetView topLeftCell="M53" zoomScale="75" workbookViewId="0">
      <selection activeCell="Z83" sqref="Z83"/>
    </sheetView>
  </sheetViews>
  <sheetFormatPr defaultRowHeight="12.75"/>
  <cols>
    <col min="1" max="2" width="9.140625" style="34"/>
    <col min="3" max="3" width="10.28515625" style="34" bestFit="1" customWidth="1"/>
    <col min="4" max="4" width="11.28515625" style="34" bestFit="1" customWidth="1"/>
    <col min="5" max="5" width="32.42578125" style="34" customWidth="1"/>
    <col min="6" max="6" width="13" style="34" customWidth="1"/>
    <col min="7" max="8" width="18.28515625" style="34" customWidth="1"/>
    <col min="9" max="9" width="10.28515625" style="34" bestFit="1" customWidth="1"/>
    <col min="10" max="10" width="12" style="34" customWidth="1"/>
    <col min="11" max="11" width="10.140625" style="34" bestFit="1" customWidth="1"/>
    <col min="12" max="12" width="11" style="34" customWidth="1"/>
    <col min="13" max="13" width="10.42578125" style="34" bestFit="1" customWidth="1"/>
    <col min="14" max="14" width="10.28515625" style="34" customWidth="1"/>
    <col min="15" max="15" width="14.7109375" style="34" customWidth="1"/>
    <col min="16" max="16" width="16.85546875" style="34" customWidth="1"/>
    <col min="17" max="17" width="10.42578125" style="34" bestFit="1" customWidth="1"/>
    <col min="18" max="18" width="9.42578125" style="34" customWidth="1"/>
    <col min="19" max="19" width="10.42578125" style="34" bestFit="1" customWidth="1"/>
    <col min="20" max="23" width="9.28515625" style="34" bestFit="1" customWidth="1"/>
    <col min="24" max="24" width="9.85546875" style="34" customWidth="1"/>
    <col min="25" max="25" width="9.140625" style="34"/>
    <col min="26" max="26" width="10.28515625" style="34" customWidth="1"/>
    <col min="27" max="28" width="9.140625" style="34"/>
    <col min="29" max="29" width="8.140625" style="34" customWidth="1"/>
    <col min="30" max="30" width="10.7109375" style="34" customWidth="1"/>
    <col min="31" max="31" width="7.85546875" style="34" customWidth="1"/>
    <col min="32" max="32" width="10.28515625" style="34" bestFit="1" customWidth="1"/>
    <col min="33" max="33" width="8" style="34" customWidth="1"/>
    <col min="34" max="34" width="9.140625" style="34"/>
    <col min="35" max="35" width="10.28515625" style="34" bestFit="1" customWidth="1"/>
    <col min="36" max="36" width="9.42578125" style="34" customWidth="1"/>
    <col min="37" max="38" width="9.140625" style="34"/>
    <col min="39" max="39" width="7.85546875" style="34" customWidth="1"/>
    <col min="40" max="42" width="9.140625" style="34"/>
    <col min="43" max="43" width="12.28515625" style="34" customWidth="1"/>
    <col min="44" max="44" width="9.140625" style="34"/>
    <col min="45" max="46" width="10.28515625" style="34" bestFit="1" customWidth="1"/>
    <col min="47" max="48" width="9.140625" style="34"/>
    <col min="49" max="49" width="12.5703125" style="34" customWidth="1"/>
    <col min="50" max="16384" width="9.140625" style="34"/>
  </cols>
  <sheetData>
    <row r="1" spans="1:49" ht="57" customHeight="1" thickBot="1">
      <c r="A1" s="712" t="s">
        <v>37</v>
      </c>
      <c r="B1" s="713"/>
      <c r="C1" s="713"/>
      <c r="D1" s="713"/>
      <c r="E1" s="713"/>
      <c r="F1" s="713"/>
      <c r="G1" s="714"/>
      <c r="H1" s="715" t="s">
        <v>136</v>
      </c>
      <c r="I1" s="716"/>
      <c r="J1" s="716"/>
      <c r="K1" s="716"/>
      <c r="L1" s="716"/>
      <c r="M1" s="716"/>
      <c r="N1" s="716"/>
      <c r="O1" s="716"/>
      <c r="P1" s="716"/>
      <c r="Q1" s="717"/>
      <c r="R1" s="709" t="s">
        <v>137</v>
      </c>
      <c r="S1" s="710"/>
      <c r="T1" s="710" t="s">
        <v>64</v>
      </c>
      <c r="U1" s="710"/>
      <c r="V1" s="710" t="s">
        <v>138</v>
      </c>
      <c r="W1" s="710"/>
      <c r="X1" s="710" t="s">
        <v>139</v>
      </c>
      <c r="Y1" s="711"/>
      <c r="Z1" s="719" t="s">
        <v>137</v>
      </c>
      <c r="AA1" s="700"/>
      <c r="AB1" s="700" t="s">
        <v>64</v>
      </c>
      <c r="AC1" s="700"/>
      <c r="AD1" s="700" t="s">
        <v>138</v>
      </c>
      <c r="AE1" s="700"/>
      <c r="AF1" s="703" t="s">
        <v>140</v>
      </c>
      <c r="AG1" s="703"/>
      <c r="AH1" s="700" t="s">
        <v>139</v>
      </c>
      <c r="AI1" s="700"/>
      <c r="AJ1" s="700" t="s">
        <v>141</v>
      </c>
      <c r="AK1" s="700"/>
      <c r="AL1" s="700" t="s">
        <v>142</v>
      </c>
      <c r="AM1" s="700"/>
      <c r="AN1" s="700" t="s">
        <v>143</v>
      </c>
      <c r="AO1" s="700"/>
      <c r="AP1" s="700" t="s">
        <v>144</v>
      </c>
      <c r="AQ1" s="701"/>
    </row>
    <row r="2" spans="1:49" ht="51.75" thickBot="1">
      <c r="A2" s="160" t="s">
        <v>145</v>
      </c>
      <c r="B2" s="161" t="s">
        <v>46</v>
      </c>
      <c r="C2" s="161" t="s">
        <v>45</v>
      </c>
      <c r="D2" s="161" t="s">
        <v>46</v>
      </c>
      <c r="E2" s="161" t="s">
        <v>9</v>
      </c>
      <c r="F2" s="161" t="s">
        <v>146</v>
      </c>
      <c r="G2" s="162" t="s">
        <v>147</v>
      </c>
      <c r="H2" s="81" t="s">
        <v>148</v>
      </c>
      <c r="I2" s="82" t="s">
        <v>149</v>
      </c>
      <c r="J2" s="82" t="s">
        <v>150</v>
      </c>
      <c r="K2" s="82" t="s">
        <v>151</v>
      </c>
      <c r="L2" s="82" t="s">
        <v>152</v>
      </c>
      <c r="M2" s="82" t="s">
        <v>153</v>
      </c>
      <c r="N2" s="82" t="s">
        <v>154</v>
      </c>
      <c r="O2" s="82" t="s">
        <v>155</v>
      </c>
      <c r="P2" s="82" t="s">
        <v>156</v>
      </c>
      <c r="Q2" s="83" t="s">
        <v>157</v>
      </c>
      <c r="R2" s="163" t="s">
        <v>158</v>
      </c>
      <c r="S2" s="164" t="s">
        <v>159</v>
      </c>
      <c r="T2" s="164" t="s">
        <v>158</v>
      </c>
      <c r="U2" s="164" t="s">
        <v>159</v>
      </c>
      <c r="V2" s="164" t="s">
        <v>158</v>
      </c>
      <c r="W2" s="164" t="s">
        <v>159</v>
      </c>
      <c r="X2" s="164" t="s">
        <v>158</v>
      </c>
      <c r="Y2" s="165" t="s">
        <v>159</v>
      </c>
      <c r="Z2" s="166" t="s">
        <v>160</v>
      </c>
      <c r="AA2" s="167" t="s">
        <v>159</v>
      </c>
      <c r="AB2" s="167" t="s">
        <v>160</v>
      </c>
      <c r="AC2" s="167" t="s">
        <v>159</v>
      </c>
      <c r="AD2" s="167" t="s">
        <v>160</v>
      </c>
      <c r="AE2" s="167" t="s">
        <v>159</v>
      </c>
      <c r="AF2" s="168" t="s">
        <v>160</v>
      </c>
      <c r="AG2" s="168" t="s">
        <v>159</v>
      </c>
      <c r="AH2" s="167" t="s">
        <v>160</v>
      </c>
      <c r="AI2" s="167" t="s">
        <v>159</v>
      </c>
      <c r="AJ2" s="167" t="s">
        <v>160</v>
      </c>
      <c r="AK2" s="167" t="s">
        <v>159</v>
      </c>
      <c r="AL2" s="167" t="s">
        <v>160</v>
      </c>
      <c r="AM2" s="167" t="s">
        <v>159</v>
      </c>
      <c r="AN2" s="167" t="s">
        <v>160</v>
      </c>
      <c r="AO2" s="167" t="s">
        <v>159</v>
      </c>
      <c r="AP2" s="167" t="s">
        <v>160</v>
      </c>
      <c r="AQ2" s="169" t="s">
        <v>159</v>
      </c>
      <c r="AR2" s="84" t="s">
        <v>156</v>
      </c>
      <c r="AS2" s="86" t="s">
        <v>157</v>
      </c>
    </row>
    <row r="3" spans="1:49">
      <c r="A3" s="170">
        <v>1</v>
      </c>
      <c r="B3" s="75" t="s">
        <v>5</v>
      </c>
      <c r="C3" s="132">
        <v>184020</v>
      </c>
      <c r="D3" s="133" t="s">
        <v>5</v>
      </c>
      <c r="E3" s="132">
        <f>'EUI by End Use'!D3</f>
        <v>270</v>
      </c>
      <c r="F3" s="132">
        <f>'EUI by End Use'!F3</f>
        <v>7500000</v>
      </c>
      <c r="G3" s="171">
        <f>'EUI by End Use'!G3</f>
        <v>27777.777777777777</v>
      </c>
      <c r="H3" s="172">
        <v>39.799999999999997</v>
      </c>
      <c r="I3" s="50">
        <v>32265</v>
      </c>
      <c r="J3" s="50">
        <v>37573</v>
      </c>
      <c r="K3" s="50">
        <v>51870</v>
      </c>
      <c r="L3" s="50">
        <v>10627</v>
      </c>
      <c r="M3" s="50">
        <v>0</v>
      </c>
      <c r="N3" s="50">
        <v>6868</v>
      </c>
      <c r="O3" s="50">
        <v>2112</v>
      </c>
      <c r="P3" s="50">
        <f t="shared" ref="P3:P34" si="0">C3-SUM(I3:O3)</f>
        <v>42705</v>
      </c>
      <c r="Q3" s="173">
        <f t="shared" ref="Q3:Q34" si="1">SUM(I3:O3)+P3</f>
        <v>184020</v>
      </c>
      <c r="R3" s="174">
        <f>'ECM Estimated Cost &amp; Savings'!C3</f>
        <v>0</v>
      </c>
      <c r="S3" s="175">
        <f>'ECM Estimated Cost &amp; Savings'!D3</f>
        <v>0</v>
      </c>
      <c r="T3" s="45">
        <f>'ECM Estimated Cost &amp; Savings'!F3</f>
        <v>0</v>
      </c>
      <c r="U3" s="175">
        <f>'ECM Estimated Cost &amp; Savings'!G3</f>
        <v>0</v>
      </c>
      <c r="V3" s="45">
        <f>'ECM Estimated Cost &amp; Savings'!I3</f>
        <v>0</v>
      </c>
      <c r="W3" s="175">
        <f>'ECM Estimated Cost &amp; Savings'!J3</f>
        <v>0</v>
      </c>
      <c r="X3" s="45">
        <f>'ECM Estimated Cost &amp; Savings'!L3</f>
        <v>0</v>
      </c>
      <c r="Y3" s="176">
        <f>'ECM Estimated Cost &amp; Savings'!M3</f>
        <v>0</v>
      </c>
      <c r="Z3" s="174">
        <f t="shared" ref="Z3:Z34" si="2">I3-R3</f>
        <v>32265</v>
      </c>
      <c r="AA3" s="175">
        <f t="shared" ref="AA3:AA34" si="3">S3</f>
        <v>0</v>
      </c>
      <c r="AB3" s="45">
        <f t="shared" ref="AB3:AB34" si="4">J3-T3</f>
        <v>37573</v>
      </c>
      <c r="AC3" s="175">
        <f t="shared" ref="AC3:AC34" si="5">U3</f>
        <v>0</v>
      </c>
      <c r="AD3" s="45">
        <f t="shared" ref="AD3:AD34" si="6">J3-V3</f>
        <v>37573</v>
      </c>
      <c r="AE3" s="175">
        <f t="shared" ref="AE3:AE34" si="7">W3</f>
        <v>0</v>
      </c>
      <c r="AF3" s="177">
        <f t="shared" ref="AF3:AF34" si="8">J3-T3-V3</f>
        <v>37573</v>
      </c>
      <c r="AG3" s="178">
        <f t="shared" ref="AG3:AG34" si="9">U3+W3</f>
        <v>0</v>
      </c>
      <c r="AH3" s="45">
        <f t="shared" ref="AH3:AH34" si="10">K3-X3</f>
        <v>51870</v>
      </c>
      <c r="AI3" s="179">
        <f t="shared" ref="AI3:AI34" si="11">Y3</f>
        <v>0</v>
      </c>
      <c r="AJ3" s="45">
        <f t="shared" ref="AJ3:AJ34" si="12">L3</f>
        <v>10627</v>
      </c>
      <c r="AK3" s="180">
        <v>0</v>
      </c>
      <c r="AL3" s="45">
        <f t="shared" ref="AL3:AL34" si="13">M3</f>
        <v>0</v>
      </c>
      <c r="AM3" s="180">
        <v>0</v>
      </c>
      <c r="AN3" s="45">
        <f t="shared" ref="AN3:AN34" si="14">N3</f>
        <v>6868</v>
      </c>
      <c r="AO3" s="180">
        <v>0</v>
      </c>
      <c r="AP3" s="45">
        <f t="shared" ref="AP3:AP34" si="15">O3</f>
        <v>2112</v>
      </c>
      <c r="AQ3" s="181">
        <v>0</v>
      </c>
      <c r="AR3" s="182">
        <f t="shared" ref="AR3:AR34" si="16">P3</f>
        <v>42705</v>
      </c>
      <c r="AS3" s="183">
        <f t="shared" ref="AS3:AS34" si="17">Z3+AF3+AH3+AJ3+AL3+AN3+AP3+AR3</f>
        <v>184020</v>
      </c>
      <c r="AW3" s="222">
        <f>F3</f>
        <v>7500000</v>
      </c>
    </row>
    <row r="4" spans="1:49">
      <c r="A4" s="170">
        <v>2</v>
      </c>
      <c r="B4" s="75" t="s">
        <v>5</v>
      </c>
      <c r="C4" s="132">
        <v>46327</v>
      </c>
      <c r="D4" s="133" t="s">
        <v>5</v>
      </c>
      <c r="E4" s="132">
        <f>'EUI by End Use'!D4</f>
        <v>81</v>
      </c>
      <c r="F4" s="132">
        <f>'EUI by End Use'!F4</f>
        <v>2060100</v>
      </c>
      <c r="G4" s="171">
        <f>'EUI by End Use'!G4</f>
        <v>25433.333333333332</v>
      </c>
      <c r="H4" s="184">
        <v>35</v>
      </c>
      <c r="I4" s="38">
        <v>5694</v>
      </c>
      <c r="J4" s="38">
        <v>14600</v>
      </c>
      <c r="K4" s="38">
        <v>4906</v>
      </c>
      <c r="L4" s="38">
        <v>5447</v>
      </c>
      <c r="M4" s="38">
        <v>2683</v>
      </c>
      <c r="N4" s="38">
        <v>708</v>
      </c>
      <c r="O4" s="38">
        <v>691</v>
      </c>
      <c r="P4" s="38">
        <f t="shared" si="0"/>
        <v>11598</v>
      </c>
      <c r="Q4" s="185">
        <f t="shared" si="1"/>
        <v>46327</v>
      </c>
      <c r="R4" s="182">
        <f>'ECM Estimated Cost &amp; Savings'!C4</f>
        <v>0</v>
      </c>
      <c r="S4" s="186">
        <f>'ECM Estimated Cost &amp; Savings'!D4</f>
        <v>0</v>
      </c>
      <c r="T4" s="49">
        <v>0</v>
      </c>
      <c r="U4" s="175">
        <v>0</v>
      </c>
      <c r="V4" s="49">
        <f>'ECM Estimated Cost &amp; Savings'!I4</f>
        <v>6000</v>
      </c>
      <c r="W4" s="186">
        <f>'ECM Estimated Cost &amp; Savings'!J4</f>
        <v>470</v>
      </c>
      <c r="X4" s="49">
        <f>'ECM Estimated Cost &amp; Savings'!L4</f>
        <v>0</v>
      </c>
      <c r="Y4" s="187">
        <f>'ECM Estimated Cost &amp; Savings'!M4</f>
        <v>0</v>
      </c>
      <c r="Z4" s="182">
        <f t="shared" si="2"/>
        <v>5694</v>
      </c>
      <c r="AA4" s="186">
        <f t="shared" si="3"/>
        <v>0</v>
      </c>
      <c r="AB4" s="49">
        <f t="shared" si="4"/>
        <v>14600</v>
      </c>
      <c r="AC4" s="186">
        <f t="shared" si="5"/>
        <v>0</v>
      </c>
      <c r="AD4" s="49">
        <f t="shared" si="6"/>
        <v>8600</v>
      </c>
      <c r="AE4" s="186">
        <f t="shared" si="7"/>
        <v>470</v>
      </c>
      <c r="AF4" s="177">
        <f t="shared" si="8"/>
        <v>8600</v>
      </c>
      <c r="AG4" s="188">
        <f t="shared" si="9"/>
        <v>470</v>
      </c>
      <c r="AH4" s="49">
        <f t="shared" si="10"/>
        <v>4906</v>
      </c>
      <c r="AI4" s="189">
        <f t="shared" si="11"/>
        <v>0</v>
      </c>
      <c r="AJ4" s="49">
        <f t="shared" si="12"/>
        <v>5447</v>
      </c>
      <c r="AK4" s="75">
        <v>0</v>
      </c>
      <c r="AL4" s="49">
        <f t="shared" si="13"/>
        <v>2683</v>
      </c>
      <c r="AM4" s="75">
        <v>0</v>
      </c>
      <c r="AN4" s="49">
        <f t="shared" si="14"/>
        <v>708</v>
      </c>
      <c r="AO4" s="75">
        <v>0</v>
      </c>
      <c r="AP4" s="49">
        <f t="shared" si="15"/>
        <v>691</v>
      </c>
      <c r="AQ4" s="190">
        <v>0</v>
      </c>
      <c r="AR4" s="182">
        <f t="shared" si="16"/>
        <v>11598</v>
      </c>
      <c r="AS4" s="183">
        <f t="shared" si="17"/>
        <v>40327</v>
      </c>
      <c r="AW4" s="222">
        <f t="shared" ref="AW4:AW34" si="18">F4</f>
        <v>2060100</v>
      </c>
    </row>
    <row r="5" spans="1:49">
      <c r="A5" s="170">
        <v>3</v>
      </c>
      <c r="B5" s="75" t="s">
        <v>5</v>
      </c>
      <c r="C5" s="132">
        <v>48880</v>
      </c>
      <c r="D5" s="133" t="s">
        <v>5</v>
      </c>
      <c r="E5" s="132">
        <f>'EUI by End Use'!D5</f>
        <v>70</v>
      </c>
      <c r="F5" s="132">
        <f>'EUI by End Use'!F5</f>
        <v>784800</v>
      </c>
      <c r="G5" s="171">
        <f>'EUI by End Use'!G5</f>
        <v>11211.428571428571</v>
      </c>
      <c r="H5" s="184">
        <v>70</v>
      </c>
      <c r="I5" s="38">
        <v>9792</v>
      </c>
      <c r="J5" s="38">
        <v>10864</v>
      </c>
      <c r="K5" s="38">
        <v>6887</v>
      </c>
      <c r="L5" s="38">
        <v>5137</v>
      </c>
      <c r="M5" s="38">
        <v>22</v>
      </c>
      <c r="N5" s="38">
        <v>38</v>
      </c>
      <c r="O5" s="38">
        <v>787</v>
      </c>
      <c r="P5" s="38">
        <f t="shared" si="0"/>
        <v>15353</v>
      </c>
      <c r="Q5" s="185">
        <f t="shared" si="1"/>
        <v>48880</v>
      </c>
      <c r="R5" s="182">
        <f>'ECM Estimated Cost &amp; Savings'!C5</f>
        <v>6292</v>
      </c>
      <c r="S5" s="186">
        <f>'ECM Estimated Cost &amp; Savings'!D5</f>
        <v>719</v>
      </c>
      <c r="T5" s="49">
        <f>'ECM Estimated Cost &amp; Savings'!F5</f>
        <v>0</v>
      </c>
      <c r="U5" s="186">
        <f>'ECM Estimated Cost &amp; Savings'!G5</f>
        <v>0</v>
      </c>
      <c r="V5" s="49">
        <f>'ECM Estimated Cost &amp; Savings'!I5</f>
        <v>6758</v>
      </c>
      <c r="W5" s="186">
        <f>'ECM Estimated Cost &amp; Savings'!J5</f>
        <v>773</v>
      </c>
      <c r="X5" s="49">
        <f>'ECM Estimated Cost &amp; Savings'!L5</f>
        <v>2925</v>
      </c>
      <c r="Y5" s="187">
        <f>'ECM Estimated Cost &amp; Savings'!M5</f>
        <v>334</v>
      </c>
      <c r="Z5" s="182">
        <f t="shared" si="2"/>
        <v>3500</v>
      </c>
      <c r="AA5" s="186">
        <f t="shared" si="3"/>
        <v>719</v>
      </c>
      <c r="AB5" s="49">
        <f t="shared" si="4"/>
        <v>10864</v>
      </c>
      <c r="AC5" s="186">
        <f t="shared" si="5"/>
        <v>0</v>
      </c>
      <c r="AD5" s="49">
        <f t="shared" si="6"/>
        <v>4106</v>
      </c>
      <c r="AE5" s="186">
        <f t="shared" si="7"/>
        <v>773</v>
      </c>
      <c r="AF5" s="177">
        <f t="shared" si="8"/>
        <v>4106</v>
      </c>
      <c r="AG5" s="188">
        <f t="shared" si="9"/>
        <v>773</v>
      </c>
      <c r="AH5" s="49">
        <f t="shared" si="10"/>
        <v>3962</v>
      </c>
      <c r="AI5" s="189">
        <f t="shared" si="11"/>
        <v>334</v>
      </c>
      <c r="AJ5" s="49">
        <f t="shared" si="12"/>
        <v>5137</v>
      </c>
      <c r="AK5" s="75">
        <v>0</v>
      </c>
      <c r="AL5" s="49">
        <f t="shared" si="13"/>
        <v>22</v>
      </c>
      <c r="AM5" s="75">
        <v>0</v>
      </c>
      <c r="AN5" s="49">
        <f t="shared" si="14"/>
        <v>38</v>
      </c>
      <c r="AO5" s="75">
        <v>0</v>
      </c>
      <c r="AP5" s="49">
        <f t="shared" si="15"/>
        <v>787</v>
      </c>
      <c r="AQ5" s="190">
        <v>0</v>
      </c>
      <c r="AR5" s="182">
        <f t="shared" si="16"/>
        <v>15353</v>
      </c>
      <c r="AS5" s="183">
        <f t="shared" si="17"/>
        <v>32905</v>
      </c>
      <c r="AW5" s="222">
        <f t="shared" si="18"/>
        <v>784800</v>
      </c>
    </row>
    <row r="6" spans="1:49">
      <c r="A6" s="170">
        <v>4</v>
      </c>
      <c r="B6" s="75" t="s">
        <v>5</v>
      </c>
      <c r="C6" s="132">
        <v>212497</v>
      </c>
      <c r="D6" s="133" t="s">
        <v>5</v>
      </c>
      <c r="E6" s="132">
        <f>'EUI by End Use'!D6</f>
        <v>235</v>
      </c>
      <c r="F6" s="132">
        <f>'EUI by End Use'!F6</f>
        <v>5475000</v>
      </c>
      <c r="G6" s="171">
        <f>'EUI by End Use'!G6</f>
        <v>23297.872340425532</v>
      </c>
      <c r="H6" s="184">
        <v>28.2</v>
      </c>
      <c r="I6" s="38">
        <v>17667</v>
      </c>
      <c r="J6" s="38">
        <v>56017</v>
      </c>
      <c r="K6" s="38">
        <v>38796</v>
      </c>
      <c r="L6" s="38">
        <v>37820</v>
      </c>
      <c r="M6" s="38">
        <v>0</v>
      </c>
      <c r="N6" s="38">
        <v>21462</v>
      </c>
      <c r="O6" s="38">
        <v>29565</v>
      </c>
      <c r="P6" s="38">
        <f t="shared" si="0"/>
        <v>11170</v>
      </c>
      <c r="Q6" s="185">
        <f t="shared" si="1"/>
        <v>212497</v>
      </c>
      <c r="R6" s="182">
        <f>'ECM Estimated Cost &amp; Savings'!C6</f>
        <v>0</v>
      </c>
      <c r="S6" s="186">
        <f>'ECM Estimated Cost &amp; Savings'!D6</f>
        <v>0</v>
      </c>
      <c r="T6" s="49">
        <f>'ECM Estimated Cost &amp; Savings'!F6</f>
        <v>0</v>
      </c>
      <c r="U6" s="186">
        <f>'ECM Estimated Cost &amp; Savings'!G6</f>
        <v>0</v>
      </c>
      <c r="V6" s="49">
        <f>'ECM Estimated Cost &amp; Savings'!I6</f>
        <v>25940</v>
      </c>
      <c r="W6" s="186">
        <f>'ECM Estimated Cost &amp; Savings'!J6</f>
        <v>2505</v>
      </c>
      <c r="X6" s="49">
        <f>'ECM Estimated Cost &amp; Savings'!L6</f>
        <v>0</v>
      </c>
      <c r="Y6" s="187">
        <f>'ECM Estimated Cost &amp; Savings'!M6</f>
        <v>0</v>
      </c>
      <c r="Z6" s="182">
        <f t="shared" si="2"/>
        <v>17667</v>
      </c>
      <c r="AA6" s="186">
        <f t="shared" si="3"/>
        <v>0</v>
      </c>
      <c r="AB6" s="49">
        <f t="shared" si="4"/>
        <v>56017</v>
      </c>
      <c r="AC6" s="186">
        <f t="shared" si="5"/>
        <v>0</v>
      </c>
      <c r="AD6" s="49">
        <f t="shared" si="6"/>
        <v>30077</v>
      </c>
      <c r="AE6" s="186">
        <f t="shared" si="7"/>
        <v>2505</v>
      </c>
      <c r="AF6" s="177">
        <f t="shared" si="8"/>
        <v>30077</v>
      </c>
      <c r="AG6" s="188">
        <f t="shared" si="9"/>
        <v>2505</v>
      </c>
      <c r="AH6" s="49">
        <f t="shared" si="10"/>
        <v>38796</v>
      </c>
      <c r="AI6" s="189">
        <f t="shared" si="11"/>
        <v>0</v>
      </c>
      <c r="AJ6" s="49">
        <f t="shared" si="12"/>
        <v>37820</v>
      </c>
      <c r="AK6" s="75">
        <v>0</v>
      </c>
      <c r="AL6" s="49">
        <f t="shared" si="13"/>
        <v>0</v>
      </c>
      <c r="AM6" s="75">
        <v>0</v>
      </c>
      <c r="AN6" s="49">
        <f t="shared" si="14"/>
        <v>21462</v>
      </c>
      <c r="AO6" s="75">
        <v>0</v>
      </c>
      <c r="AP6" s="49">
        <f t="shared" si="15"/>
        <v>29565</v>
      </c>
      <c r="AQ6" s="190">
        <v>0</v>
      </c>
      <c r="AR6" s="182">
        <f t="shared" si="16"/>
        <v>11170</v>
      </c>
      <c r="AS6" s="183">
        <f t="shared" si="17"/>
        <v>186557</v>
      </c>
      <c r="AW6" s="222">
        <f t="shared" si="18"/>
        <v>5475000</v>
      </c>
    </row>
    <row r="7" spans="1:49">
      <c r="A7" s="170">
        <v>5</v>
      </c>
      <c r="B7" s="75" t="s">
        <v>5</v>
      </c>
      <c r="C7" s="132">
        <v>63351</v>
      </c>
      <c r="D7" s="133" t="s">
        <v>5</v>
      </c>
      <c r="E7" s="132">
        <f>'EUI by End Use'!D7</f>
        <v>100</v>
      </c>
      <c r="F7" s="132">
        <f>'EUI by End Use'!F7</f>
        <v>2336000</v>
      </c>
      <c r="G7" s="171">
        <f>'EUI by End Use'!G7</f>
        <v>23360</v>
      </c>
      <c r="H7" s="172">
        <v>30</v>
      </c>
      <c r="I7" s="38">
        <v>6006</v>
      </c>
      <c r="J7" s="38">
        <v>26754</v>
      </c>
      <c r="K7" s="38">
        <v>10718</v>
      </c>
      <c r="L7" s="38">
        <v>13777</v>
      </c>
      <c r="M7" s="38">
        <v>2575</v>
      </c>
      <c r="N7" s="38">
        <v>0</v>
      </c>
      <c r="O7" s="38">
        <v>185</v>
      </c>
      <c r="P7" s="38">
        <f t="shared" si="0"/>
        <v>3336</v>
      </c>
      <c r="Q7" s="185">
        <f t="shared" si="1"/>
        <v>63351</v>
      </c>
      <c r="R7" s="182">
        <f>'ECM Estimated Cost &amp; Savings'!C7</f>
        <v>0</v>
      </c>
      <c r="S7" s="186">
        <f>'ECM Estimated Cost &amp; Savings'!D7</f>
        <v>0</v>
      </c>
      <c r="T7" s="49">
        <f>'ECM Estimated Cost &amp; Savings'!F7</f>
        <v>0</v>
      </c>
      <c r="U7" s="186">
        <f>'ECM Estimated Cost &amp; Savings'!G7</f>
        <v>0</v>
      </c>
      <c r="V7" s="49">
        <f>'ECM Estimated Cost &amp; Savings'!I7</f>
        <v>0</v>
      </c>
      <c r="W7" s="186">
        <f>'ECM Estimated Cost &amp; Savings'!J7</f>
        <v>0</v>
      </c>
      <c r="X7" s="49">
        <f>'ECM Estimated Cost &amp; Savings'!L7</f>
        <v>530</v>
      </c>
      <c r="Y7" s="187">
        <f>'ECM Estimated Cost &amp; Savings'!M7</f>
        <v>47</v>
      </c>
      <c r="Z7" s="182">
        <f t="shared" si="2"/>
        <v>6006</v>
      </c>
      <c r="AA7" s="186">
        <f t="shared" si="3"/>
        <v>0</v>
      </c>
      <c r="AB7" s="49">
        <f t="shared" si="4"/>
        <v>26754</v>
      </c>
      <c r="AC7" s="186">
        <f t="shared" si="5"/>
        <v>0</v>
      </c>
      <c r="AD7" s="49">
        <f t="shared" si="6"/>
        <v>26754</v>
      </c>
      <c r="AE7" s="186">
        <f t="shared" si="7"/>
        <v>0</v>
      </c>
      <c r="AF7" s="177">
        <f t="shared" si="8"/>
        <v>26754</v>
      </c>
      <c r="AG7" s="188">
        <f t="shared" si="9"/>
        <v>0</v>
      </c>
      <c r="AH7" s="49">
        <f t="shared" si="10"/>
        <v>10188</v>
      </c>
      <c r="AI7" s="189">
        <f t="shared" si="11"/>
        <v>47</v>
      </c>
      <c r="AJ7" s="49">
        <f t="shared" si="12"/>
        <v>13777</v>
      </c>
      <c r="AK7" s="75">
        <v>0</v>
      </c>
      <c r="AL7" s="49">
        <f t="shared" si="13"/>
        <v>2575</v>
      </c>
      <c r="AM7" s="75">
        <v>0</v>
      </c>
      <c r="AN7" s="49">
        <f t="shared" si="14"/>
        <v>0</v>
      </c>
      <c r="AO7" s="75">
        <v>0</v>
      </c>
      <c r="AP7" s="49">
        <f t="shared" si="15"/>
        <v>185</v>
      </c>
      <c r="AQ7" s="190">
        <v>0</v>
      </c>
      <c r="AR7" s="182">
        <f t="shared" si="16"/>
        <v>3336</v>
      </c>
      <c r="AS7" s="183">
        <f t="shared" si="17"/>
        <v>62821</v>
      </c>
      <c r="AW7" s="222">
        <f t="shared" si="18"/>
        <v>2336000</v>
      </c>
    </row>
    <row r="8" spans="1:49">
      <c r="A8" s="170">
        <v>6</v>
      </c>
      <c r="B8" s="75" t="s">
        <v>5</v>
      </c>
      <c r="C8" s="132">
        <v>170934</v>
      </c>
      <c r="D8" s="133" t="s">
        <v>5</v>
      </c>
      <c r="E8" s="132">
        <f>'EUI by End Use'!D8</f>
        <v>210</v>
      </c>
      <c r="F8" s="132">
        <f>'EUI by End Use'!F8</f>
        <v>6205000</v>
      </c>
      <c r="G8" s="171">
        <f>'EUI by End Use'!G8</f>
        <v>29547.619047619046</v>
      </c>
      <c r="H8" s="184">
        <v>94</v>
      </c>
      <c r="I8" s="38">
        <v>59021</v>
      </c>
      <c r="J8" s="38">
        <v>52041</v>
      </c>
      <c r="K8" s="38">
        <v>15904</v>
      </c>
      <c r="L8" s="38">
        <v>15868</v>
      </c>
      <c r="M8" s="38">
        <v>3676</v>
      </c>
      <c r="N8" s="38">
        <v>0</v>
      </c>
      <c r="O8" s="38">
        <v>968</v>
      </c>
      <c r="P8" s="38">
        <f t="shared" si="0"/>
        <v>23456</v>
      </c>
      <c r="Q8" s="185">
        <f t="shared" si="1"/>
        <v>170934</v>
      </c>
      <c r="R8" s="182">
        <f>'ECM Estimated Cost &amp; Savings'!C8</f>
        <v>43271</v>
      </c>
      <c r="S8" s="186">
        <f>'ECM Estimated Cost &amp; Savings'!D8</f>
        <v>4763</v>
      </c>
      <c r="T8" s="49">
        <f>'ECM Estimated Cost &amp; Savings'!F8</f>
        <v>0</v>
      </c>
      <c r="U8" s="186">
        <f>'ECM Estimated Cost &amp; Savings'!G8</f>
        <v>0</v>
      </c>
      <c r="V8" s="49">
        <f>'ECM Estimated Cost &amp; Savings'!I8</f>
        <v>23940</v>
      </c>
      <c r="W8" s="186">
        <f>'ECM Estimated Cost &amp; Savings'!J8</f>
        <v>2635</v>
      </c>
      <c r="X8" s="49">
        <f>'ECM Estimated Cost &amp; Savings'!L8</f>
        <v>3336</v>
      </c>
      <c r="Y8" s="187">
        <f>'ECM Estimated Cost &amp; Savings'!M8</f>
        <v>367</v>
      </c>
      <c r="Z8" s="182">
        <f t="shared" si="2"/>
        <v>15750</v>
      </c>
      <c r="AA8" s="186">
        <f t="shared" si="3"/>
        <v>4763</v>
      </c>
      <c r="AB8" s="49">
        <f t="shared" si="4"/>
        <v>52041</v>
      </c>
      <c r="AC8" s="186">
        <f t="shared" si="5"/>
        <v>0</v>
      </c>
      <c r="AD8" s="49">
        <f t="shared" si="6"/>
        <v>28101</v>
      </c>
      <c r="AE8" s="186">
        <f t="shared" si="7"/>
        <v>2635</v>
      </c>
      <c r="AF8" s="177">
        <f t="shared" si="8"/>
        <v>28101</v>
      </c>
      <c r="AG8" s="188">
        <f t="shared" si="9"/>
        <v>2635</v>
      </c>
      <c r="AH8" s="49">
        <f t="shared" si="10"/>
        <v>12568</v>
      </c>
      <c r="AI8" s="189">
        <f t="shared" si="11"/>
        <v>367</v>
      </c>
      <c r="AJ8" s="49">
        <f t="shared" si="12"/>
        <v>15868</v>
      </c>
      <c r="AK8" s="75">
        <v>0</v>
      </c>
      <c r="AL8" s="49">
        <f t="shared" si="13"/>
        <v>3676</v>
      </c>
      <c r="AM8" s="75">
        <v>0</v>
      </c>
      <c r="AN8" s="49">
        <f t="shared" si="14"/>
        <v>0</v>
      </c>
      <c r="AO8" s="75">
        <v>0</v>
      </c>
      <c r="AP8" s="49">
        <f t="shared" si="15"/>
        <v>968</v>
      </c>
      <c r="AQ8" s="190">
        <v>0</v>
      </c>
      <c r="AR8" s="182">
        <f t="shared" si="16"/>
        <v>23456</v>
      </c>
      <c r="AS8" s="183">
        <f t="shared" si="17"/>
        <v>100387</v>
      </c>
      <c r="AW8" s="222">
        <f t="shared" si="18"/>
        <v>6205000</v>
      </c>
    </row>
    <row r="9" spans="1:49">
      <c r="A9" s="170">
        <v>7</v>
      </c>
      <c r="B9" s="75" t="s">
        <v>5</v>
      </c>
      <c r="C9" s="132">
        <v>73072</v>
      </c>
      <c r="D9" s="133" t="s">
        <v>5</v>
      </c>
      <c r="E9" s="132">
        <f>'EUI by End Use'!D9</f>
        <v>92</v>
      </c>
      <c r="F9" s="132">
        <f>'EUI by End Use'!F9</f>
        <v>1752000</v>
      </c>
      <c r="G9" s="171">
        <f>'EUI by End Use'!G9</f>
        <v>19043.478260869564</v>
      </c>
      <c r="H9" s="172">
        <v>97</v>
      </c>
      <c r="I9" s="38">
        <v>17921</v>
      </c>
      <c r="J9" s="38">
        <v>12990</v>
      </c>
      <c r="K9" s="38">
        <v>4275</v>
      </c>
      <c r="L9" s="38">
        <v>12314</v>
      </c>
      <c r="M9" s="38">
        <v>179</v>
      </c>
      <c r="N9" s="38">
        <v>12423</v>
      </c>
      <c r="O9" s="38">
        <v>2382</v>
      </c>
      <c r="P9" s="38">
        <f t="shared" si="0"/>
        <v>10588</v>
      </c>
      <c r="Q9" s="185">
        <f t="shared" si="1"/>
        <v>73072</v>
      </c>
      <c r="R9" s="182">
        <f>'ECM Estimated Cost &amp; Savings'!C9</f>
        <v>13321</v>
      </c>
      <c r="S9" s="186">
        <f>'ECM Estimated Cost &amp; Savings'!D9</f>
        <v>1768</v>
      </c>
      <c r="T9" s="49">
        <f>'ECM Estimated Cost &amp; Savings'!F9</f>
        <v>0</v>
      </c>
      <c r="U9" s="186">
        <f>'ECM Estimated Cost &amp; Savings'!G9</f>
        <v>0</v>
      </c>
      <c r="V9" s="49">
        <f>'ECM Estimated Cost &amp; Savings'!I9</f>
        <v>0</v>
      </c>
      <c r="W9" s="186">
        <f>'ECM Estimated Cost &amp; Savings'!J9</f>
        <v>0</v>
      </c>
      <c r="X9" s="49">
        <f>'ECM Estimated Cost &amp; Savings'!L9</f>
        <v>0</v>
      </c>
      <c r="Y9" s="187">
        <f>'ECM Estimated Cost &amp; Savings'!M9</f>
        <v>0</v>
      </c>
      <c r="Z9" s="182">
        <f t="shared" si="2"/>
        <v>4600</v>
      </c>
      <c r="AA9" s="186">
        <f t="shared" si="3"/>
        <v>1768</v>
      </c>
      <c r="AB9" s="49">
        <f t="shared" si="4"/>
        <v>12990</v>
      </c>
      <c r="AC9" s="186">
        <f t="shared" si="5"/>
        <v>0</v>
      </c>
      <c r="AD9" s="49">
        <f t="shared" si="6"/>
        <v>12990</v>
      </c>
      <c r="AE9" s="186">
        <f t="shared" si="7"/>
        <v>0</v>
      </c>
      <c r="AF9" s="177">
        <f t="shared" si="8"/>
        <v>12990</v>
      </c>
      <c r="AG9" s="188">
        <f t="shared" si="9"/>
        <v>0</v>
      </c>
      <c r="AH9" s="49">
        <f t="shared" si="10"/>
        <v>4275</v>
      </c>
      <c r="AI9" s="189">
        <f t="shared" si="11"/>
        <v>0</v>
      </c>
      <c r="AJ9" s="49">
        <f t="shared" si="12"/>
        <v>12314</v>
      </c>
      <c r="AK9" s="75">
        <v>0</v>
      </c>
      <c r="AL9" s="49">
        <f t="shared" si="13"/>
        <v>179</v>
      </c>
      <c r="AM9" s="75">
        <v>0</v>
      </c>
      <c r="AN9" s="49">
        <f t="shared" si="14"/>
        <v>12423</v>
      </c>
      <c r="AO9" s="75">
        <v>0</v>
      </c>
      <c r="AP9" s="49">
        <f t="shared" si="15"/>
        <v>2382</v>
      </c>
      <c r="AQ9" s="190">
        <v>0</v>
      </c>
      <c r="AR9" s="182">
        <f t="shared" si="16"/>
        <v>10588</v>
      </c>
      <c r="AS9" s="183">
        <f t="shared" si="17"/>
        <v>59751</v>
      </c>
      <c r="AW9" s="222">
        <f t="shared" si="18"/>
        <v>1752000</v>
      </c>
    </row>
    <row r="10" spans="1:49">
      <c r="A10" s="170">
        <v>8</v>
      </c>
      <c r="B10" s="75" t="s">
        <v>5</v>
      </c>
      <c r="C10" s="132">
        <v>98553</v>
      </c>
      <c r="D10" s="133" t="s">
        <v>5</v>
      </c>
      <c r="E10" s="132">
        <f>'EUI by End Use'!D10</f>
        <v>200</v>
      </c>
      <c r="F10" s="132">
        <f>'EUI by End Use'!F10</f>
        <v>4250000</v>
      </c>
      <c r="G10" s="171">
        <f>'EUI by End Use'!G10</f>
        <v>21250</v>
      </c>
      <c r="H10" s="172">
        <v>37</v>
      </c>
      <c r="I10" s="38">
        <v>14845</v>
      </c>
      <c r="J10" s="38">
        <v>41526</v>
      </c>
      <c r="K10" s="38">
        <v>12048</v>
      </c>
      <c r="L10" s="38">
        <v>8843</v>
      </c>
      <c r="M10" s="38">
        <v>596</v>
      </c>
      <c r="N10" s="38">
        <v>0</v>
      </c>
      <c r="O10" s="38">
        <v>760</v>
      </c>
      <c r="P10" s="38">
        <f t="shared" si="0"/>
        <v>19935</v>
      </c>
      <c r="Q10" s="185">
        <f t="shared" si="1"/>
        <v>98553</v>
      </c>
      <c r="R10" s="182">
        <f>'ECM Estimated Cost &amp; Savings'!C10</f>
        <v>0</v>
      </c>
      <c r="S10" s="186">
        <f>'ECM Estimated Cost &amp; Savings'!D10</f>
        <v>0</v>
      </c>
      <c r="T10" s="49">
        <f>'ECM Estimated Cost &amp; Savings'!F10</f>
        <v>0</v>
      </c>
      <c r="U10" s="186">
        <f>'ECM Estimated Cost &amp; Savings'!G10</f>
        <v>0</v>
      </c>
      <c r="V10" s="49">
        <f>'ECM Estimated Cost &amp; Savings'!I10</f>
        <v>12750</v>
      </c>
      <c r="W10" s="186">
        <f>'ECM Estimated Cost &amp; Savings'!J10</f>
        <v>1243</v>
      </c>
      <c r="X10" s="49">
        <f>'ECM Estimated Cost &amp; Savings'!L10</f>
        <v>0</v>
      </c>
      <c r="Y10" s="187">
        <f>'ECM Estimated Cost &amp; Savings'!M10</f>
        <v>0</v>
      </c>
      <c r="Z10" s="182">
        <f t="shared" si="2"/>
        <v>14845</v>
      </c>
      <c r="AA10" s="186">
        <f t="shared" si="3"/>
        <v>0</v>
      </c>
      <c r="AB10" s="49">
        <f t="shared" si="4"/>
        <v>41526</v>
      </c>
      <c r="AC10" s="186">
        <f t="shared" si="5"/>
        <v>0</v>
      </c>
      <c r="AD10" s="49">
        <f t="shared" si="6"/>
        <v>28776</v>
      </c>
      <c r="AE10" s="186">
        <f t="shared" si="7"/>
        <v>1243</v>
      </c>
      <c r="AF10" s="177">
        <f t="shared" si="8"/>
        <v>28776</v>
      </c>
      <c r="AG10" s="188">
        <f t="shared" si="9"/>
        <v>1243</v>
      </c>
      <c r="AH10" s="49">
        <f t="shared" si="10"/>
        <v>12048</v>
      </c>
      <c r="AI10" s="189">
        <f t="shared" si="11"/>
        <v>0</v>
      </c>
      <c r="AJ10" s="49">
        <f t="shared" si="12"/>
        <v>8843</v>
      </c>
      <c r="AK10" s="75">
        <v>0</v>
      </c>
      <c r="AL10" s="49">
        <f t="shared" si="13"/>
        <v>596</v>
      </c>
      <c r="AM10" s="75">
        <v>0</v>
      </c>
      <c r="AN10" s="49">
        <f t="shared" si="14"/>
        <v>0</v>
      </c>
      <c r="AO10" s="75">
        <v>0</v>
      </c>
      <c r="AP10" s="49">
        <f t="shared" si="15"/>
        <v>760</v>
      </c>
      <c r="AQ10" s="190">
        <v>0</v>
      </c>
      <c r="AR10" s="182">
        <f t="shared" si="16"/>
        <v>19935</v>
      </c>
      <c r="AS10" s="183">
        <f t="shared" si="17"/>
        <v>85803</v>
      </c>
      <c r="AW10" s="222">
        <f t="shared" si="18"/>
        <v>4250000</v>
      </c>
    </row>
    <row r="11" spans="1:49">
      <c r="A11" s="170">
        <v>9</v>
      </c>
      <c r="B11" s="75" t="s">
        <v>5</v>
      </c>
      <c r="C11" s="132">
        <v>36895</v>
      </c>
      <c r="D11" s="133" t="s">
        <v>5</v>
      </c>
      <c r="E11" s="132">
        <f>'EUI by End Use'!D11</f>
        <v>65</v>
      </c>
      <c r="F11" s="132">
        <f>'EUI by End Use'!F11</f>
        <v>1496500</v>
      </c>
      <c r="G11" s="171">
        <f>'EUI by End Use'!G11</f>
        <v>23023.076923076922</v>
      </c>
      <c r="H11" s="184">
        <v>69</v>
      </c>
      <c r="I11" s="38">
        <v>8943</v>
      </c>
      <c r="J11" s="38">
        <v>8110</v>
      </c>
      <c r="K11" s="38">
        <v>10094</v>
      </c>
      <c r="L11" s="38">
        <v>12455</v>
      </c>
      <c r="M11" s="38">
        <v>118</v>
      </c>
      <c r="N11" s="38">
        <v>0</v>
      </c>
      <c r="O11" s="38">
        <v>0</v>
      </c>
      <c r="P11" s="38">
        <f t="shared" si="0"/>
        <v>-2825</v>
      </c>
      <c r="Q11" s="185">
        <f t="shared" si="1"/>
        <v>36895</v>
      </c>
      <c r="R11" s="182">
        <f>'ECM Estimated Cost &amp; Savings'!C11</f>
        <v>2860</v>
      </c>
      <c r="S11" s="186">
        <f>'ECM Estimated Cost &amp; Savings'!D11</f>
        <v>304</v>
      </c>
      <c r="T11" s="49">
        <v>0</v>
      </c>
      <c r="U11" s="175">
        <v>0</v>
      </c>
      <c r="V11" s="49">
        <f>'ECM Estimated Cost &amp; Savings'!I11</f>
        <v>0</v>
      </c>
      <c r="W11" s="186">
        <f>'ECM Estimated Cost &amp; Savings'!J11</f>
        <v>0</v>
      </c>
      <c r="X11" s="49">
        <f>'ECM Estimated Cost &amp; Savings'!L11</f>
        <v>0</v>
      </c>
      <c r="Y11" s="187">
        <f>'ECM Estimated Cost &amp; Savings'!M11</f>
        <v>0</v>
      </c>
      <c r="Z11" s="182">
        <f t="shared" si="2"/>
        <v>6083</v>
      </c>
      <c r="AA11" s="186">
        <f t="shared" si="3"/>
        <v>304</v>
      </c>
      <c r="AB11" s="49">
        <f t="shared" si="4"/>
        <v>8110</v>
      </c>
      <c r="AC11" s="186">
        <f t="shared" si="5"/>
        <v>0</v>
      </c>
      <c r="AD11" s="49">
        <f t="shared" si="6"/>
        <v>8110</v>
      </c>
      <c r="AE11" s="186">
        <f t="shared" si="7"/>
        <v>0</v>
      </c>
      <c r="AF11" s="177">
        <f t="shared" si="8"/>
        <v>8110</v>
      </c>
      <c r="AG11" s="188">
        <f t="shared" si="9"/>
        <v>0</v>
      </c>
      <c r="AH11" s="49">
        <f t="shared" si="10"/>
        <v>10094</v>
      </c>
      <c r="AI11" s="189">
        <f t="shared" si="11"/>
        <v>0</v>
      </c>
      <c r="AJ11" s="49">
        <f t="shared" si="12"/>
        <v>12455</v>
      </c>
      <c r="AK11" s="75">
        <v>0</v>
      </c>
      <c r="AL11" s="49">
        <f t="shared" si="13"/>
        <v>118</v>
      </c>
      <c r="AM11" s="75">
        <v>0</v>
      </c>
      <c r="AN11" s="49">
        <f t="shared" si="14"/>
        <v>0</v>
      </c>
      <c r="AO11" s="75">
        <v>0</v>
      </c>
      <c r="AP11" s="49">
        <f t="shared" si="15"/>
        <v>0</v>
      </c>
      <c r="AQ11" s="190">
        <v>0</v>
      </c>
      <c r="AR11" s="182">
        <f t="shared" si="16"/>
        <v>-2825</v>
      </c>
      <c r="AS11" s="183">
        <f t="shared" si="17"/>
        <v>34035</v>
      </c>
      <c r="AW11" s="222">
        <f t="shared" si="18"/>
        <v>1496500</v>
      </c>
    </row>
    <row r="12" spans="1:49">
      <c r="A12" s="170">
        <v>10</v>
      </c>
      <c r="B12" s="75" t="s">
        <v>5</v>
      </c>
      <c r="C12" s="132">
        <v>77904</v>
      </c>
      <c r="D12" s="133" t="s">
        <v>5</v>
      </c>
      <c r="E12" s="132">
        <f>'EUI by End Use'!D12</f>
        <v>65</v>
      </c>
      <c r="F12" s="132">
        <f>'EUI by End Use'!F12</f>
        <v>1715500</v>
      </c>
      <c r="G12" s="171">
        <f>'EUI by End Use'!G12</f>
        <v>26392.307692307691</v>
      </c>
      <c r="H12" s="172">
        <v>149</v>
      </c>
      <c r="I12" s="38">
        <v>19316</v>
      </c>
      <c r="J12" s="38">
        <v>16876</v>
      </c>
      <c r="K12" s="38">
        <v>9156</v>
      </c>
      <c r="L12" s="38">
        <v>15918</v>
      </c>
      <c r="M12" s="38">
        <v>2957</v>
      </c>
      <c r="N12" s="38">
        <v>0</v>
      </c>
      <c r="O12" s="38">
        <v>264</v>
      </c>
      <c r="P12" s="38">
        <f t="shared" si="0"/>
        <v>13417</v>
      </c>
      <c r="Q12" s="185">
        <f t="shared" si="1"/>
        <v>77904</v>
      </c>
      <c r="R12" s="182">
        <f>'ECM Estimated Cost &amp; Savings'!C12</f>
        <v>0</v>
      </c>
      <c r="S12" s="186">
        <f>'ECM Estimated Cost &amp; Savings'!D12</f>
        <v>0</v>
      </c>
      <c r="T12" s="49">
        <f>'ECM Estimated Cost &amp; Savings'!F12</f>
        <v>0</v>
      </c>
      <c r="U12" s="186">
        <f>'ECM Estimated Cost &amp; Savings'!G12</f>
        <v>0</v>
      </c>
      <c r="V12" s="49">
        <f>'ECM Estimated Cost &amp; Savings'!I12</f>
        <v>8000</v>
      </c>
      <c r="W12" s="186">
        <f>'ECM Estimated Cost &amp; Savings'!J12</f>
        <v>1024</v>
      </c>
      <c r="X12" s="49">
        <f>'ECM Estimated Cost &amp; Savings'!L12</f>
        <v>880</v>
      </c>
      <c r="Y12" s="187">
        <f>'ECM Estimated Cost &amp; Savings'!M12</f>
        <v>108</v>
      </c>
      <c r="Z12" s="182">
        <f t="shared" si="2"/>
        <v>19316</v>
      </c>
      <c r="AA12" s="186">
        <f t="shared" si="3"/>
        <v>0</v>
      </c>
      <c r="AB12" s="49">
        <f t="shared" si="4"/>
        <v>16876</v>
      </c>
      <c r="AC12" s="186">
        <f t="shared" si="5"/>
        <v>0</v>
      </c>
      <c r="AD12" s="49">
        <f t="shared" si="6"/>
        <v>8876</v>
      </c>
      <c r="AE12" s="186">
        <f t="shared" si="7"/>
        <v>1024</v>
      </c>
      <c r="AF12" s="177">
        <f t="shared" si="8"/>
        <v>8876</v>
      </c>
      <c r="AG12" s="188">
        <f t="shared" si="9"/>
        <v>1024</v>
      </c>
      <c r="AH12" s="49">
        <f t="shared" si="10"/>
        <v>8276</v>
      </c>
      <c r="AI12" s="189">
        <f t="shared" si="11"/>
        <v>108</v>
      </c>
      <c r="AJ12" s="49">
        <f t="shared" si="12"/>
        <v>15918</v>
      </c>
      <c r="AK12" s="75">
        <v>0</v>
      </c>
      <c r="AL12" s="49">
        <f t="shared" si="13"/>
        <v>2957</v>
      </c>
      <c r="AM12" s="75">
        <v>0</v>
      </c>
      <c r="AN12" s="49">
        <f t="shared" si="14"/>
        <v>0</v>
      </c>
      <c r="AO12" s="75">
        <v>0</v>
      </c>
      <c r="AP12" s="49">
        <f t="shared" si="15"/>
        <v>264</v>
      </c>
      <c r="AQ12" s="190">
        <v>0</v>
      </c>
      <c r="AR12" s="182">
        <f t="shared" si="16"/>
        <v>13417</v>
      </c>
      <c r="AS12" s="183">
        <f t="shared" si="17"/>
        <v>69024</v>
      </c>
      <c r="AW12" s="222">
        <f t="shared" si="18"/>
        <v>1715500</v>
      </c>
    </row>
    <row r="13" spans="1:49">
      <c r="A13" s="170">
        <v>11</v>
      </c>
      <c r="B13" s="75" t="s">
        <v>5</v>
      </c>
      <c r="C13" s="132">
        <v>390580</v>
      </c>
      <c r="D13" s="133" t="s">
        <v>5</v>
      </c>
      <c r="E13" s="132">
        <f>'EUI by End Use'!D13</f>
        <v>750</v>
      </c>
      <c r="F13" s="132">
        <f>'EUI by End Use'!F13</f>
        <v>18031000</v>
      </c>
      <c r="G13" s="171">
        <f>'EUI by End Use'!G13</f>
        <v>24041.333333333332</v>
      </c>
      <c r="H13" s="184">
        <v>12</v>
      </c>
      <c r="I13" s="38">
        <v>28105</v>
      </c>
      <c r="J13" s="38">
        <v>105076</v>
      </c>
      <c r="K13" s="38">
        <v>58094</v>
      </c>
      <c r="L13" s="38">
        <v>135817</v>
      </c>
      <c r="M13" s="38">
        <v>0</v>
      </c>
      <c r="N13" s="38">
        <v>0</v>
      </c>
      <c r="O13" s="38">
        <v>1715</v>
      </c>
      <c r="P13" s="38">
        <f t="shared" si="0"/>
        <v>61773</v>
      </c>
      <c r="Q13" s="185">
        <f t="shared" si="1"/>
        <v>390580</v>
      </c>
      <c r="R13" s="182">
        <f>'ECM Estimated Cost &amp; Savings'!C13</f>
        <v>0</v>
      </c>
      <c r="S13" s="186">
        <f>'ECM Estimated Cost &amp; Savings'!D13</f>
        <v>0</v>
      </c>
      <c r="T13" s="49">
        <f>'ECM Estimated Cost &amp; Savings'!F13</f>
        <v>0</v>
      </c>
      <c r="U13" s="186">
        <f>'ECM Estimated Cost &amp; Savings'!G13</f>
        <v>0</v>
      </c>
      <c r="V13" s="49">
        <f>'ECM Estimated Cost &amp; Savings'!I13</f>
        <v>0</v>
      </c>
      <c r="W13" s="186">
        <f>'ECM Estimated Cost &amp; Savings'!J13</f>
        <v>0</v>
      </c>
      <c r="X13" s="49">
        <f>'ECM Estimated Cost &amp; Savings'!L13</f>
        <v>4060</v>
      </c>
      <c r="Y13" s="187">
        <f>'ECM Estimated Cost &amp; Savings'!M13</f>
        <v>382</v>
      </c>
      <c r="Z13" s="182">
        <f t="shared" si="2"/>
        <v>28105</v>
      </c>
      <c r="AA13" s="186">
        <f t="shared" si="3"/>
        <v>0</v>
      </c>
      <c r="AB13" s="49">
        <f t="shared" si="4"/>
        <v>105076</v>
      </c>
      <c r="AC13" s="186">
        <f t="shared" si="5"/>
        <v>0</v>
      </c>
      <c r="AD13" s="49">
        <f t="shared" si="6"/>
        <v>105076</v>
      </c>
      <c r="AE13" s="186">
        <f t="shared" si="7"/>
        <v>0</v>
      </c>
      <c r="AF13" s="177">
        <f t="shared" si="8"/>
        <v>105076</v>
      </c>
      <c r="AG13" s="188">
        <f t="shared" si="9"/>
        <v>0</v>
      </c>
      <c r="AH13" s="49">
        <f t="shared" si="10"/>
        <v>54034</v>
      </c>
      <c r="AI13" s="189">
        <f t="shared" si="11"/>
        <v>382</v>
      </c>
      <c r="AJ13" s="49">
        <f t="shared" si="12"/>
        <v>135817</v>
      </c>
      <c r="AK13" s="75">
        <v>0</v>
      </c>
      <c r="AL13" s="49">
        <f t="shared" si="13"/>
        <v>0</v>
      </c>
      <c r="AM13" s="75">
        <v>0</v>
      </c>
      <c r="AN13" s="49">
        <f t="shared" si="14"/>
        <v>0</v>
      </c>
      <c r="AO13" s="75">
        <v>0</v>
      </c>
      <c r="AP13" s="49">
        <f t="shared" si="15"/>
        <v>1715</v>
      </c>
      <c r="AQ13" s="190">
        <v>0</v>
      </c>
      <c r="AR13" s="182">
        <f t="shared" si="16"/>
        <v>61773</v>
      </c>
      <c r="AS13" s="183">
        <f t="shared" si="17"/>
        <v>386520</v>
      </c>
      <c r="AW13" s="222">
        <f t="shared" si="18"/>
        <v>18031000</v>
      </c>
    </row>
    <row r="14" spans="1:49">
      <c r="A14" s="170">
        <v>12</v>
      </c>
      <c r="B14" s="75" t="s">
        <v>5</v>
      </c>
      <c r="C14" s="132">
        <v>87127</v>
      </c>
      <c r="D14" s="133" t="s">
        <v>5</v>
      </c>
      <c r="E14" s="132">
        <f>'EUI by End Use'!D14</f>
        <v>250</v>
      </c>
      <c r="F14" s="132">
        <f>'EUI by End Use'!F14</f>
        <v>6000000</v>
      </c>
      <c r="G14" s="171">
        <f>'EUI by End Use'!G14</f>
        <v>24000</v>
      </c>
      <c r="H14" s="184">
        <v>46</v>
      </c>
      <c r="I14" s="38">
        <v>11498</v>
      </c>
      <c r="J14" s="38">
        <v>36642</v>
      </c>
      <c r="K14" s="38">
        <v>12078</v>
      </c>
      <c r="L14" s="38">
        <v>982</v>
      </c>
      <c r="M14" s="38">
        <v>0</v>
      </c>
      <c r="N14" s="38">
        <v>19316</v>
      </c>
      <c r="O14" s="38">
        <v>562</v>
      </c>
      <c r="P14" s="38">
        <f t="shared" si="0"/>
        <v>6049</v>
      </c>
      <c r="Q14" s="185">
        <f t="shared" si="1"/>
        <v>87127</v>
      </c>
      <c r="R14" s="182">
        <f>'ECM Estimated Cost &amp; Savings'!C14</f>
        <v>0</v>
      </c>
      <c r="S14" s="186">
        <f>'ECM Estimated Cost &amp; Savings'!D14</f>
        <v>0</v>
      </c>
      <c r="T14" s="49">
        <f>'ECM Estimated Cost &amp; Savings'!F14</f>
        <v>0</v>
      </c>
      <c r="U14" s="186">
        <f>'ECM Estimated Cost &amp; Savings'!G14</f>
        <v>0</v>
      </c>
      <c r="V14" s="49">
        <f>'ECM Estimated Cost &amp; Savings'!I14</f>
        <v>0</v>
      </c>
      <c r="W14" s="186">
        <f>'ECM Estimated Cost &amp; Savings'!J14</f>
        <v>0</v>
      </c>
      <c r="X14" s="49">
        <f>'ECM Estimated Cost &amp; Savings'!L14</f>
        <v>4780</v>
      </c>
      <c r="Y14" s="187">
        <f>'ECM Estimated Cost &amp; Savings'!M14</f>
        <v>495</v>
      </c>
      <c r="Z14" s="182">
        <f t="shared" si="2"/>
        <v>11498</v>
      </c>
      <c r="AA14" s="186">
        <f t="shared" si="3"/>
        <v>0</v>
      </c>
      <c r="AB14" s="49">
        <f t="shared" si="4"/>
        <v>36642</v>
      </c>
      <c r="AC14" s="186">
        <f t="shared" si="5"/>
        <v>0</v>
      </c>
      <c r="AD14" s="49">
        <f t="shared" si="6"/>
        <v>36642</v>
      </c>
      <c r="AE14" s="186">
        <f t="shared" si="7"/>
        <v>0</v>
      </c>
      <c r="AF14" s="177">
        <f t="shared" si="8"/>
        <v>36642</v>
      </c>
      <c r="AG14" s="188">
        <f t="shared" si="9"/>
        <v>0</v>
      </c>
      <c r="AH14" s="49">
        <f t="shared" si="10"/>
        <v>7298</v>
      </c>
      <c r="AI14" s="189">
        <f t="shared" si="11"/>
        <v>495</v>
      </c>
      <c r="AJ14" s="49">
        <f t="shared" si="12"/>
        <v>982</v>
      </c>
      <c r="AK14" s="75">
        <v>0</v>
      </c>
      <c r="AL14" s="49">
        <f t="shared" si="13"/>
        <v>0</v>
      </c>
      <c r="AM14" s="75">
        <v>0</v>
      </c>
      <c r="AN14" s="49">
        <f t="shared" si="14"/>
        <v>19316</v>
      </c>
      <c r="AO14" s="75">
        <v>0</v>
      </c>
      <c r="AP14" s="49">
        <f t="shared" si="15"/>
        <v>562</v>
      </c>
      <c r="AQ14" s="190">
        <v>0</v>
      </c>
      <c r="AR14" s="182">
        <f t="shared" si="16"/>
        <v>6049</v>
      </c>
      <c r="AS14" s="183">
        <f t="shared" si="17"/>
        <v>82347</v>
      </c>
      <c r="AW14" s="222">
        <f t="shared" si="18"/>
        <v>6000000</v>
      </c>
    </row>
    <row r="15" spans="1:49">
      <c r="A15" s="170">
        <v>13</v>
      </c>
      <c r="B15" s="75" t="s">
        <v>5</v>
      </c>
      <c r="C15" s="132">
        <v>72017</v>
      </c>
      <c r="D15" s="133" t="s">
        <v>5</v>
      </c>
      <c r="E15" s="132">
        <f>'EUI by End Use'!D15</f>
        <v>65</v>
      </c>
      <c r="F15" s="132">
        <f>'EUI by End Use'!F15</f>
        <v>1569500</v>
      </c>
      <c r="G15" s="171">
        <f>'EUI by End Use'!G15</f>
        <v>24146.153846153848</v>
      </c>
      <c r="H15" s="184">
        <v>50</v>
      </c>
      <c r="I15" s="38">
        <v>6564</v>
      </c>
      <c r="J15" s="38">
        <v>19418</v>
      </c>
      <c r="K15" s="38">
        <v>5789</v>
      </c>
      <c r="L15" s="38">
        <v>0</v>
      </c>
      <c r="M15" s="38">
        <v>9909</v>
      </c>
      <c r="N15" s="38">
        <v>298</v>
      </c>
      <c r="O15" s="38">
        <v>7554</v>
      </c>
      <c r="P15" s="38">
        <f t="shared" si="0"/>
        <v>22485</v>
      </c>
      <c r="Q15" s="185">
        <f t="shared" si="1"/>
        <v>72017</v>
      </c>
      <c r="R15" s="182">
        <f>'ECM Estimated Cost &amp; Savings'!C15</f>
        <v>3314</v>
      </c>
      <c r="S15" s="186">
        <f>'ECM Estimated Cost &amp; Savings'!D15</f>
        <v>332</v>
      </c>
      <c r="T15" s="49">
        <f>'ECM Estimated Cost &amp; Savings'!F15</f>
        <v>0</v>
      </c>
      <c r="U15" s="186">
        <f>'ECM Estimated Cost &amp; Savings'!G15</f>
        <v>0</v>
      </c>
      <c r="V15" s="49">
        <f>'ECM Estimated Cost &amp; Savings'!I15</f>
        <v>7848</v>
      </c>
      <c r="W15" s="186">
        <f>'ECM Estimated Cost &amp; Savings'!J15</f>
        <v>786</v>
      </c>
      <c r="X15" s="49">
        <f>'ECM Estimated Cost &amp; Savings'!L15</f>
        <v>2032</v>
      </c>
      <c r="Y15" s="187">
        <f>'ECM Estimated Cost &amp; Savings'!M15</f>
        <v>204</v>
      </c>
      <c r="Z15" s="182">
        <f t="shared" si="2"/>
        <v>3250</v>
      </c>
      <c r="AA15" s="186">
        <f t="shared" si="3"/>
        <v>332</v>
      </c>
      <c r="AB15" s="49">
        <f t="shared" si="4"/>
        <v>19418</v>
      </c>
      <c r="AC15" s="186">
        <f t="shared" si="5"/>
        <v>0</v>
      </c>
      <c r="AD15" s="49">
        <f t="shared" si="6"/>
        <v>11570</v>
      </c>
      <c r="AE15" s="186">
        <f t="shared" si="7"/>
        <v>786</v>
      </c>
      <c r="AF15" s="177">
        <f t="shared" si="8"/>
        <v>11570</v>
      </c>
      <c r="AG15" s="188">
        <f t="shared" si="9"/>
        <v>786</v>
      </c>
      <c r="AH15" s="49">
        <f t="shared" si="10"/>
        <v>3757</v>
      </c>
      <c r="AI15" s="189">
        <f t="shared" si="11"/>
        <v>204</v>
      </c>
      <c r="AJ15" s="49">
        <f t="shared" si="12"/>
        <v>0</v>
      </c>
      <c r="AK15" s="75">
        <v>0</v>
      </c>
      <c r="AL15" s="49">
        <f t="shared" si="13"/>
        <v>9909</v>
      </c>
      <c r="AM15" s="75">
        <v>0</v>
      </c>
      <c r="AN15" s="49">
        <f t="shared" si="14"/>
        <v>298</v>
      </c>
      <c r="AO15" s="75">
        <v>0</v>
      </c>
      <c r="AP15" s="49">
        <f t="shared" si="15"/>
        <v>7554</v>
      </c>
      <c r="AQ15" s="190">
        <v>0</v>
      </c>
      <c r="AR15" s="182">
        <f t="shared" si="16"/>
        <v>22485</v>
      </c>
      <c r="AS15" s="183">
        <f t="shared" si="17"/>
        <v>58823</v>
      </c>
      <c r="AW15" s="222">
        <f t="shared" si="18"/>
        <v>1569500</v>
      </c>
    </row>
    <row r="16" spans="1:49">
      <c r="A16" s="170">
        <v>14</v>
      </c>
      <c r="B16" s="75" t="s">
        <v>5</v>
      </c>
      <c r="C16" s="132">
        <v>52335</v>
      </c>
      <c r="D16" s="133" t="s">
        <v>5</v>
      </c>
      <c r="E16" s="132">
        <f>'EUI by End Use'!D16</f>
        <v>70</v>
      </c>
      <c r="F16" s="132">
        <f>'EUI by End Use'!F16</f>
        <v>1277500</v>
      </c>
      <c r="G16" s="171">
        <f>'EUI by End Use'!G16</f>
        <v>18250</v>
      </c>
      <c r="H16" s="172">
        <v>94</v>
      </c>
      <c r="I16" s="38">
        <v>13119</v>
      </c>
      <c r="J16" s="38">
        <v>12599</v>
      </c>
      <c r="K16" s="38">
        <v>5841</v>
      </c>
      <c r="L16" s="38">
        <v>0</v>
      </c>
      <c r="M16" s="38">
        <v>3346</v>
      </c>
      <c r="N16" s="38">
        <v>0</v>
      </c>
      <c r="O16" s="38">
        <v>780</v>
      </c>
      <c r="P16" s="38">
        <f t="shared" si="0"/>
        <v>16650</v>
      </c>
      <c r="Q16" s="185">
        <f t="shared" si="1"/>
        <v>52335</v>
      </c>
      <c r="R16" s="182">
        <f>'ECM Estimated Cost &amp; Savings'!C16</f>
        <v>9619</v>
      </c>
      <c r="S16" s="186">
        <f>'ECM Estimated Cost &amp; Savings'!D16</f>
        <v>1090</v>
      </c>
      <c r="T16" s="49">
        <f>'ECM Estimated Cost &amp; Savings'!F16</f>
        <v>0</v>
      </c>
      <c r="U16" s="186">
        <f>'ECM Estimated Cost &amp; Savings'!G16</f>
        <v>0</v>
      </c>
      <c r="V16" s="49">
        <f>'ECM Estimated Cost &amp; Savings'!I16</f>
        <v>3833</v>
      </c>
      <c r="W16" s="186">
        <f>'ECM Estimated Cost &amp; Savings'!J16</f>
        <v>434</v>
      </c>
      <c r="X16" s="49">
        <f>'ECM Estimated Cost &amp; Savings'!L16</f>
        <v>0</v>
      </c>
      <c r="Y16" s="187">
        <f>'ECM Estimated Cost &amp; Savings'!M16</f>
        <v>0</v>
      </c>
      <c r="Z16" s="182">
        <f t="shared" si="2"/>
        <v>3500</v>
      </c>
      <c r="AA16" s="186">
        <f t="shared" si="3"/>
        <v>1090</v>
      </c>
      <c r="AB16" s="49">
        <f t="shared" si="4"/>
        <v>12599</v>
      </c>
      <c r="AC16" s="186">
        <f t="shared" si="5"/>
        <v>0</v>
      </c>
      <c r="AD16" s="49">
        <f t="shared" si="6"/>
        <v>8766</v>
      </c>
      <c r="AE16" s="186">
        <f t="shared" si="7"/>
        <v>434</v>
      </c>
      <c r="AF16" s="177">
        <f t="shared" si="8"/>
        <v>8766</v>
      </c>
      <c r="AG16" s="188">
        <f t="shared" si="9"/>
        <v>434</v>
      </c>
      <c r="AH16" s="49">
        <f t="shared" si="10"/>
        <v>5841</v>
      </c>
      <c r="AI16" s="189">
        <f t="shared" si="11"/>
        <v>0</v>
      </c>
      <c r="AJ16" s="49">
        <f t="shared" si="12"/>
        <v>0</v>
      </c>
      <c r="AK16" s="75">
        <v>0</v>
      </c>
      <c r="AL16" s="49">
        <f t="shared" si="13"/>
        <v>3346</v>
      </c>
      <c r="AM16" s="75">
        <v>0</v>
      </c>
      <c r="AN16" s="49">
        <f t="shared" si="14"/>
        <v>0</v>
      </c>
      <c r="AO16" s="75">
        <v>0</v>
      </c>
      <c r="AP16" s="49">
        <f t="shared" si="15"/>
        <v>780</v>
      </c>
      <c r="AQ16" s="190">
        <v>0</v>
      </c>
      <c r="AR16" s="182">
        <f t="shared" si="16"/>
        <v>16650</v>
      </c>
      <c r="AS16" s="183">
        <f t="shared" si="17"/>
        <v>38883</v>
      </c>
      <c r="AW16" s="222">
        <f t="shared" si="18"/>
        <v>1277500</v>
      </c>
    </row>
    <row r="17" spans="1:49">
      <c r="A17" s="170">
        <v>15</v>
      </c>
      <c r="B17" s="75" t="s">
        <v>5</v>
      </c>
      <c r="C17" s="132">
        <v>775909</v>
      </c>
      <c r="D17" s="133" t="s">
        <v>5</v>
      </c>
      <c r="E17" s="132">
        <f>'EUI by End Use'!D17</f>
        <v>860</v>
      </c>
      <c r="F17" s="132">
        <f>'EUI by End Use'!F17</f>
        <v>24090000</v>
      </c>
      <c r="G17" s="171">
        <f>'EUI by End Use'!G17</f>
        <v>28011.627906976744</v>
      </c>
      <c r="H17" s="172">
        <v>23</v>
      </c>
      <c r="I17" s="38">
        <v>59021</v>
      </c>
      <c r="J17" s="38">
        <v>109030</v>
      </c>
      <c r="K17" s="38">
        <v>281520</v>
      </c>
      <c r="L17" s="38">
        <v>153388</v>
      </c>
      <c r="M17" s="38">
        <v>0</v>
      </c>
      <c r="N17" s="38">
        <v>21516</v>
      </c>
      <c r="O17" s="38">
        <v>15969</v>
      </c>
      <c r="P17" s="38">
        <f t="shared" si="0"/>
        <v>135465</v>
      </c>
      <c r="Q17" s="185">
        <f t="shared" si="1"/>
        <v>775909</v>
      </c>
      <c r="R17" s="182">
        <f>'ECM Estimated Cost &amp; Savings'!C17</f>
        <v>0</v>
      </c>
      <c r="S17" s="186">
        <f>'ECM Estimated Cost &amp; Savings'!D17</f>
        <v>0</v>
      </c>
      <c r="T17" s="49">
        <f>'ECM Estimated Cost &amp; Savings'!F17</f>
        <v>0</v>
      </c>
      <c r="U17" s="186">
        <f>'ECM Estimated Cost &amp; Savings'!G17</f>
        <v>0</v>
      </c>
      <c r="V17" s="49">
        <f>'ECM Estimated Cost &amp; Savings'!I17</f>
        <v>0</v>
      </c>
      <c r="W17" s="186">
        <f>'ECM Estimated Cost &amp; Savings'!J17</f>
        <v>0</v>
      </c>
      <c r="X17" s="49">
        <f>'ECM Estimated Cost &amp; Savings'!L17</f>
        <v>0</v>
      </c>
      <c r="Y17" s="187">
        <f>'ECM Estimated Cost &amp; Savings'!M17</f>
        <v>0</v>
      </c>
      <c r="Z17" s="182">
        <f t="shared" si="2"/>
        <v>59021</v>
      </c>
      <c r="AA17" s="186">
        <f t="shared" si="3"/>
        <v>0</v>
      </c>
      <c r="AB17" s="49">
        <f t="shared" si="4"/>
        <v>109030</v>
      </c>
      <c r="AC17" s="186">
        <f t="shared" si="5"/>
        <v>0</v>
      </c>
      <c r="AD17" s="49">
        <f t="shared" si="6"/>
        <v>109030</v>
      </c>
      <c r="AE17" s="186">
        <f t="shared" si="7"/>
        <v>0</v>
      </c>
      <c r="AF17" s="177">
        <f t="shared" si="8"/>
        <v>109030</v>
      </c>
      <c r="AG17" s="188">
        <f t="shared" si="9"/>
        <v>0</v>
      </c>
      <c r="AH17" s="49">
        <f t="shared" si="10"/>
        <v>281520</v>
      </c>
      <c r="AI17" s="189">
        <f t="shared" si="11"/>
        <v>0</v>
      </c>
      <c r="AJ17" s="49">
        <f t="shared" si="12"/>
        <v>153388</v>
      </c>
      <c r="AK17" s="75">
        <v>0</v>
      </c>
      <c r="AL17" s="49">
        <f t="shared" si="13"/>
        <v>0</v>
      </c>
      <c r="AM17" s="75">
        <v>0</v>
      </c>
      <c r="AN17" s="49">
        <f t="shared" si="14"/>
        <v>21516</v>
      </c>
      <c r="AO17" s="75">
        <v>0</v>
      </c>
      <c r="AP17" s="49">
        <f t="shared" si="15"/>
        <v>15969</v>
      </c>
      <c r="AQ17" s="190">
        <v>0</v>
      </c>
      <c r="AR17" s="182">
        <f t="shared" si="16"/>
        <v>135465</v>
      </c>
      <c r="AS17" s="183">
        <f t="shared" si="17"/>
        <v>775909</v>
      </c>
      <c r="AW17" s="222">
        <f t="shared" si="18"/>
        <v>24090000</v>
      </c>
    </row>
    <row r="18" spans="1:49">
      <c r="A18" s="170">
        <v>16</v>
      </c>
      <c r="B18" s="75" t="s">
        <v>5</v>
      </c>
      <c r="C18" s="132">
        <v>176240</v>
      </c>
      <c r="D18" s="133" t="s">
        <v>5</v>
      </c>
      <c r="E18" s="132">
        <f>'EUI by End Use'!D18</f>
        <v>384</v>
      </c>
      <c r="F18" s="132">
        <f>'EUI by End Use'!F18</f>
        <v>8030000</v>
      </c>
      <c r="G18" s="171">
        <f>'EUI by End Use'!G18</f>
        <v>20911.458333333332</v>
      </c>
      <c r="H18" s="184">
        <v>18.5</v>
      </c>
      <c r="I18" s="38">
        <v>21294</v>
      </c>
      <c r="J18" s="38">
        <v>32111</v>
      </c>
      <c r="K18" s="38">
        <v>41792</v>
      </c>
      <c r="L18" s="38">
        <v>26630</v>
      </c>
      <c r="M18" s="38">
        <v>0</v>
      </c>
      <c r="N18" s="38">
        <v>9274</v>
      </c>
      <c r="O18" s="38">
        <v>1056</v>
      </c>
      <c r="P18" s="38">
        <f t="shared" si="0"/>
        <v>44083</v>
      </c>
      <c r="Q18" s="185">
        <f t="shared" si="1"/>
        <v>176240</v>
      </c>
      <c r="R18" s="182">
        <f>'ECM Estimated Cost &amp; Savings'!C18</f>
        <v>0</v>
      </c>
      <c r="S18" s="186">
        <f>'ECM Estimated Cost &amp; Savings'!D18</f>
        <v>0</v>
      </c>
      <c r="T18" s="49">
        <f>'ECM Estimated Cost &amp; Savings'!F18</f>
        <v>0</v>
      </c>
      <c r="U18" s="186">
        <f>'ECM Estimated Cost &amp; Savings'!G18</f>
        <v>0</v>
      </c>
      <c r="V18" s="49">
        <f>'ECM Estimated Cost &amp; Savings'!I18</f>
        <v>0</v>
      </c>
      <c r="W18" s="186">
        <f>'ECM Estimated Cost &amp; Savings'!J18</f>
        <v>0</v>
      </c>
      <c r="X18" s="49">
        <f>'ECM Estimated Cost &amp; Savings'!L18</f>
        <v>9600</v>
      </c>
      <c r="Y18" s="187">
        <f>'ECM Estimated Cost &amp; Savings'!M18</f>
        <v>722</v>
      </c>
      <c r="Z18" s="182">
        <f t="shared" si="2"/>
        <v>21294</v>
      </c>
      <c r="AA18" s="186">
        <f t="shared" si="3"/>
        <v>0</v>
      </c>
      <c r="AB18" s="49">
        <f t="shared" si="4"/>
        <v>32111</v>
      </c>
      <c r="AC18" s="186">
        <f t="shared" si="5"/>
        <v>0</v>
      </c>
      <c r="AD18" s="49">
        <f t="shared" si="6"/>
        <v>32111</v>
      </c>
      <c r="AE18" s="186">
        <f t="shared" si="7"/>
        <v>0</v>
      </c>
      <c r="AF18" s="177">
        <f t="shared" si="8"/>
        <v>32111</v>
      </c>
      <c r="AG18" s="188">
        <f t="shared" si="9"/>
        <v>0</v>
      </c>
      <c r="AH18" s="49">
        <f t="shared" si="10"/>
        <v>32192</v>
      </c>
      <c r="AI18" s="189">
        <f t="shared" si="11"/>
        <v>722</v>
      </c>
      <c r="AJ18" s="49">
        <f t="shared" si="12"/>
        <v>26630</v>
      </c>
      <c r="AK18" s="75">
        <v>0</v>
      </c>
      <c r="AL18" s="49">
        <f t="shared" si="13"/>
        <v>0</v>
      </c>
      <c r="AM18" s="75">
        <v>0</v>
      </c>
      <c r="AN18" s="49">
        <f t="shared" si="14"/>
        <v>9274</v>
      </c>
      <c r="AO18" s="75">
        <v>0</v>
      </c>
      <c r="AP18" s="49">
        <f t="shared" si="15"/>
        <v>1056</v>
      </c>
      <c r="AQ18" s="190">
        <v>0</v>
      </c>
      <c r="AR18" s="182">
        <f t="shared" si="16"/>
        <v>44083</v>
      </c>
      <c r="AS18" s="183">
        <f t="shared" si="17"/>
        <v>166640</v>
      </c>
      <c r="AW18" s="222">
        <f t="shared" si="18"/>
        <v>8030000</v>
      </c>
    </row>
    <row r="19" spans="1:49">
      <c r="A19" s="170">
        <v>17</v>
      </c>
      <c r="B19" s="75" t="s">
        <v>5</v>
      </c>
      <c r="C19" s="132">
        <v>317700</v>
      </c>
      <c r="D19" s="133" t="s">
        <v>5</v>
      </c>
      <c r="E19" s="132">
        <f>'EUI by End Use'!D19</f>
        <v>500</v>
      </c>
      <c r="F19" s="132">
        <f>'EUI by End Use'!F19</f>
        <v>13687500</v>
      </c>
      <c r="G19" s="171">
        <f>'EUI by End Use'!G19</f>
        <v>27375</v>
      </c>
      <c r="H19" s="172">
        <v>62</v>
      </c>
      <c r="I19" s="38">
        <v>91159</v>
      </c>
      <c r="J19" s="38">
        <v>57660</v>
      </c>
      <c r="K19" s="38">
        <v>36568</v>
      </c>
      <c r="L19" s="38">
        <v>85906</v>
      </c>
      <c r="M19" s="38">
        <v>0</v>
      </c>
      <c r="N19" s="38">
        <v>16590</v>
      </c>
      <c r="O19" s="38">
        <v>1761</v>
      </c>
      <c r="P19" s="38">
        <f t="shared" si="0"/>
        <v>28056</v>
      </c>
      <c r="Q19" s="185">
        <f t="shared" si="1"/>
        <v>317700</v>
      </c>
      <c r="R19" s="182">
        <f>'ECM Estimated Cost &amp; Savings'!C19</f>
        <v>18500</v>
      </c>
      <c r="S19" s="186">
        <f>'ECM Estimated Cost &amp; Savings'!D19</f>
        <v>2000</v>
      </c>
      <c r="T19" s="49">
        <f>'ECM Estimated Cost &amp; Savings'!F19</f>
        <v>0</v>
      </c>
      <c r="U19" s="186">
        <f>'ECM Estimated Cost &amp; Savings'!G19</f>
        <v>0</v>
      </c>
      <c r="V19" s="49">
        <f>'ECM Estimated Cost &amp; Savings'!I19</f>
        <v>0</v>
      </c>
      <c r="W19" s="186">
        <f>'ECM Estimated Cost &amp; Savings'!J19</f>
        <v>0</v>
      </c>
      <c r="X19" s="49">
        <f>'ECM Estimated Cost &amp; Savings'!L19</f>
        <v>4017</v>
      </c>
      <c r="Y19" s="187">
        <f>'ECM Estimated Cost &amp; Savings'!M19</f>
        <v>400</v>
      </c>
      <c r="Z19" s="182">
        <f t="shared" si="2"/>
        <v>72659</v>
      </c>
      <c r="AA19" s="186">
        <f t="shared" si="3"/>
        <v>2000</v>
      </c>
      <c r="AB19" s="49">
        <f t="shared" si="4"/>
        <v>57660</v>
      </c>
      <c r="AC19" s="186">
        <f t="shared" si="5"/>
        <v>0</v>
      </c>
      <c r="AD19" s="49">
        <f t="shared" si="6"/>
        <v>57660</v>
      </c>
      <c r="AE19" s="186">
        <f t="shared" si="7"/>
        <v>0</v>
      </c>
      <c r="AF19" s="177">
        <f t="shared" si="8"/>
        <v>57660</v>
      </c>
      <c r="AG19" s="188">
        <f t="shared" si="9"/>
        <v>0</v>
      </c>
      <c r="AH19" s="49">
        <f t="shared" si="10"/>
        <v>32551</v>
      </c>
      <c r="AI19" s="189">
        <f t="shared" si="11"/>
        <v>400</v>
      </c>
      <c r="AJ19" s="49">
        <f t="shared" si="12"/>
        <v>85906</v>
      </c>
      <c r="AK19" s="75">
        <v>0</v>
      </c>
      <c r="AL19" s="49">
        <f t="shared" si="13"/>
        <v>0</v>
      </c>
      <c r="AM19" s="75">
        <v>0</v>
      </c>
      <c r="AN19" s="49">
        <f t="shared" si="14"/>
        <v>16590</v>
      </c>
      <c r="AO19" s="75">
        <v>0</v>
      </c>
      <c r="AP19" s="49">
        <f t="shared" si="15"/>
        <v>1761</v>
      </c>
      <c r="AQ19" s="190">
        <v>0</v>
      </c>
      <c r="AR19" s="182">
        <f t="shared" si="16"/>
        <v>28056</v>
      </c>
      <c r="AS19" s="183">
        <f t="shared" si="17"/>
        <v>295183</v>
      </c>
      <c r="AW19" s="222">
        <f t="shared" si="18"/>
        <v>13687500</v>
      </c>
    </row>
    <row r="20" spans="1:49" ht="13.5" thickBot="1">
      <c r="A20" s="191">
        <v>18</v>
      </c>
      <c r="B20" s="192" t="s">
        <v>5</v>
      </c>
      <c r="C20" s="193">
        <v>89607</v>
      </c>
      <c r="D20" s="194" t="s">
        <v>5</v>
      </c>
      <c r="E20" s="193">
        <f>'EUI by End Use'!D20</f>
        <v>127</v>
      </c>
      <c r="F20" s="193">
        <f>'EUI by End Use'!F20</f>
        <v>3139000</v>
      </c>
      <c r="G20" s="195">
        <f>'EUI by End Use'!G20</f>
        <v>24716.535433070865</v>
      </c>
      <c r="H20" s="196">
        <v>25</v>
      </c>
      <c r="I20" s="121">
        <v>6349</v>
      </c>
      <c r="J20" s="121">
        <v>4143</v>
      </c>
      <c r="K20" s="121">
        <v>47557</v>
      </c>
      <c r="L20" s="121">
        <v>10382</v>
      </c>
      <c r="M20" s="121">
        <v>8972</v>
      </c>
      <c r="N20" s="121">
        <v>894</v>
      </c>
      <c r="O20" s="121">
        <v>169</v>
      </c>
      <c r="P20" s="121">
        <f t="shared" si="0"/>
        <v>11141</v>
      </c>
      <c r="Q20" s="123">
        <f t="shared" si="1"/>
        <v>89607</v>
      </c>
      <c r="R20" s="197">
        <f>'ECM Estimated Cost &amp; Savings'!C20</f>
        <v>0</v>
      </c>
      <c r="S20" s="198">
        <f>'ECM Estimated Cost &amp; Savings'!D20</f>
        <v>0</v>
      </c>
      <c r="T20" s="199">
        <f>'ECM Estimated Cost &amp; Savings'!F20</f>
        <v>0</v>
      </c>
      <c r="U20" s="198">
        <f>'ECM Estimated Cost &amp; Savings'!G20</f>
        <v>0</v>
      </c>
      <c r="V20" s="199">
        <f>'ECM Estimated Cost &amp; Savings'!I20</f>
        <v>0</v>
      </c>
      <c r="W20" s="198">
        <f>'ECM Estimated Cost &amp; Savings'!J20</f>
        <v>0</v>
      </c>
      <c r="X20" s="199">
        <f>'ECM Estimated Cost &amp; Savings'!L20</f>
        <v>588</v>
      </c>
      <c r="Y20" s="200">
        <f>'ECM Estimated Cost &amp; Savings'!M20</f>
        <v>65</v>
      </c>
      <c r="Z20" s="197">
        <f t="shared" si="2"/>
        <v>6349</v>
      </c>
      <c r="AA20" s="198">
        <f t="shared" si="3"/>
        <v>0</v>
      </c>
      <c r="AB20" s="199">
        <f t="shared" si="4"/>
        <v>4143</v>
      </c>
      <c r="AC20" s="198">
        <f t="shared" si="5"/>
        <v>0</v>
      </c>
      <c r="AD20" s="199">
        <f t="shared" si="6"/>
        <v>4143</v>
      </c>
      <c r="AE20" s="198">
        <f t="shared" si="7"/>
        <v>0</v>
      </c>
      <c r="AF20" s="201">
        <f t="shared" si="8"/>
        <v>4143</v>
      </c>
      <c r="AG20" s="202">
        <f t="shared" si="9"/>
        <v>0</v>
      </c>
      <c r="AH20" s="199">
        <f t="shared" si="10"/>
        <v>46969</v>
      </c>
      <c r="AI20" s="203">
        <f t="shared" si="11"/>
        <v>65</v>
      </c>
      <c r="AJ20" s="199">
        <f t="shared" si="12"/>
        <v>10382</v>
      </c>
      <c r="AK20" s="192">
        <v>0</v>
      </c>
      <c r="AL20" s="199">
        <f t="shared" si="13"/>
        <v>8972</v>
      </c>
      <c r="AM20" s="192">
        <v>0</v>
      </c>
      <c r="AN20" s="199">
        <f t="shared" si="14"/>
        <v>894</v>
      </c>
      <c r="AO20" s="192">
        <v>0</v>
      </c>
      <c r="AP20" s="199">
        <f t="shared" si="15"/>
        <v>169</v>
      </c>
      <c r="AQ20" s="204">
        <v>0</v>
      </c>
      <c r="AR20" s="197">
        <f t="shared" si="16"/>
        <v>11141</v>
      </c>
      <c r="AS20" s="205">
        <f t="shared" si="17"/>
        <v>89019</v>
      </c>
      <c r="AT20" s="49">
        <f>SUM(AS3:AS20)</f>
        <v>2748954</v>
      </c>
      <c r="AU20" s="206">
        <f>AT20/SUM(Q3:Q20)</f>
        <v>0.92434501208494568</v>
      </c>
      <c r="AV20" s="34" t="s">
        <v>132</v>
      </c>
      <c r="AW20" s="222">
        <f t="shared" si="18"/>
        <v>3139000</v>
      </c>
    </row>
    <row r="21" spans="1:49">
      <c r="A21" s="207">
        <v>1</v>
      </c>
      <c r="B21" s="180" t="s">
        <v>130</v>
      </c>
      <c r="C21" s="208">
        <v>61950</v>
      </c>
      <c r="D21" s="209" t="s">
        <v>130</v>
      </c>
      <c r="E21" s="208">
        <f>'EUI by End Use'!D21</f>
        <v>70</v>
      </c>
      <c r="F21" s="208">
        <f>'EUI by End Use'!F21</f>
        <v>1700000</v>
      </c>
      <c r="G21" s="210">
        <f>'EUI by End Use'!G21</f>
        <v>24285.714285714286</v>
      </c>
      <c r="H21" s="172">
        <v>70.099999999999994</v>
      </c>
      <c r="I21" s="50">
        <v>9810</v>
      </c>
      <c r="J21" s="50">
        <v>14180</v>
      </c>
      <c r="K21" s="50">
        <v>5935</v>
      </c>
      <c r="L21" s="50">
        <v>12348</v>
      </c>
      <c r="M21" s="50">
        <v>3980</v>
      </c>
      <c r="N21" s="50">
        <v>706</v>
      </c>
      <c r="O21" s="50">
        <v>6552</v>
      </c>
      <c r="P21" s="50">
        <f t="shared" si="0"/>
        <v>8439</v>
      </c>
      <c r="Q21" s="173">
        <f t="shared" si="1"/>
        <v>61950</v>
      </c>
      <c r="R21" s="174">
        <f>'ECM Estimated Cost &amp; Savings'!C24</f>
        <v>6300</v>
      </c>
      <c r="S21" s="175">
        <f>'ECM Estimated Cost &amp; Savings'!D24</f>
        <v>610</v>
      </c>
      <c r="T21" s="45">
        <f>'ECM Estimated Cost &amp; Savings'!F24</f>
        <v>0</v>
      </c>
      <c r="U21" s="175">
        <f>'ECM Estimated Cost &amp; Savings'!G24</f>
        <v>0</v>
      </c>
      <c r="V21" s="45">
        <f>'ECM Estimated Cost &amp; Savings'!I24</f>
        <v>5000</v>
      </c>
      <c r="W21" s="175">
        <f>'ECM Estimated Cost &amp; Savings'!J24</f>
        <v>490</v>
      </c>
      <c r="X21" s="45">
        <f>'ECM Estimated Cost &amp; Savings'!L24</f>
        <v>0</v>
      </c>
      <c r="Y21" s="176">
        <f>'ECM Estimated Cost &amp; Savings'!M24</f>
        <v>0</v>
      </c>
      <c r="Z21" s="174">
        <f t="shared" si="2"/>
        <v>3510</v>
      </c>
      <c r="AA21" s="175">
        <f t="shared" si="3"/>
        <v>610</v>
      </c>
      <c r="AB21" s="45">
        <f t="shared" si="4"/>
        <v>14180</v>
      </c>
      <c r="AC21" s="175">
        <f t="shared" si="5"/>
        <v>0</v>
      </c>
      <c r="AD21" s="45">
        <f t="shared" si="6"/>
        <v>9180</v>
      </c>
      <c r="AE21" s="175">
        <f t="shared" si="7"/>
        <v>490</v>
      </c>
      <c r="AF21" s="211">
        <f t="shared" si="8"/>
        <v>9180</v>
      </c>
      <c r="AG21" s="178">
        <f t="shared" si="9"/>
        <v>490</v>
      </c>
      <c r="AH21" s="45">
        <f t="shared" si="10"/>
        <v>5935</v>
      </c>
      <c r="AI21" s="179">
        <f t="shared" si="11"/>
        <v>0</v>
      </c>
      <c r="AJ21" s="45">
        <f t="shared" si="12"/>
        <v>12348</v>
      </c>
      <c r="AK21" s="180">
        <v>0</v>
      </c>
      <c r="AL21" s="45">
        <f t="shared" si="13"/>
        <v>3980</v>
      </c>
      <c r="AM21" s="180">
        <v>0</v>
      </c>
      <c r="AN21" s="45">
        <f t="shared" si="14"/>
        <v>706</v>
      </c>
      <c r="AO21" s="180">
        <v>0</v>
      </c>
      <c r="AP21" s="45">
        <f t="shared" si="15"/>
        <v>6552</v>
      </c>
      <c r="AQ21" s="181">
        <v>0</v>
      </c>
      <c r="AR21" s="174">
        <f t="shared" si="16"/>
        <v>8439</v>
      </c>
      <c r="AS21" s="212">
        <f t="shared" si="17"/>
        <v>50650</v>
      </c>
      <c r="AW21" s="222">
        <f t="shared" si="18"/>
        <v>1700000</v>
      </c>
    </row>
    <row r="22" spans="1:49">
      <c r="A22" s="170">
        <v>2</v>
      </c>
      <c r="B22" s="75" t="s">
        <v>130</v>
      </c>
      <c r="C22" s="132">
        <v>65719</v>
      </c>
      <c r="D22" s="133" t="s">
        <v>130</v>
      </c>
      <c r="E22" s="132">
        <f>'EUI by End Use'!D22</f>
        <v>67</v>
      </c>
      <c r="F22" s="132">
        <f>'EUI by End Use'!F22</f>
        <v>1781900</v>
      </c>
      <c r="G22" s="171">
        <f>'EUI by End Use'!G22</f>
        <v>26595.5223880597</v>
      </c>
      <c r="H22" s="184">
        <v>52</v>
      </c>
      <c r="I22" s="38">
        <v>6975</v>
      </c>
      <c r="J22" s="38">
        <v>13700</v>
      </c>
      <c r="K22" s="38">
        <v>4994</v>
      </c>
      <c r="L22" s="38">
        <v>17972</v>
      </c>
      <c r="M22" s="38">
        <v>1847</v>
      </c>
      <c r="N22" s="38">
        <v>1430</v>
      </c>
      <c r="O22" s="38">
        <v>13887</v>
      </c>
      <c r="P22" s="38">
        <f t="shared" si="0"/>
        <v>4914</v>
      </c>
      <c r="Q22" s="185">
        <f t="shared" si="1"/>
        <v>65719</v>
      </c>
      <c r="R22" s="182">
        <f>'ECM Estimated Cost &amp; Savings'!C25</f>
        <v>3625</v>
      </c>
      <c r="S22" s="213">
        <f>'ECM Estimated Cost &amp; Savings'!D25</f>
        <v>357</v>
      </c>
      <c r="T22" s="214">
        <f>'ECM Estimated Cost &amp; Savings'!F25</f>
        <v>6562</v>
      </c>
      <c r="U22" s="213">
        <f>'ECM Estimated Cost &amp; Savings'!G25</f>
        <v>647</v>
      </c>
      <c r="V22" s="214">
        <f>'ECM Estimated Cost &amp; Savings'!I25</f>
        <v>5826</v>
      </c>
      <c r="W22" s="213">
        <f>'ECM Estimated Cost &amp; Savings'!J25</f>
        <v>575</v>
      </c>
      <c r="X22" s="214">
        <f>'ECM Estimated Cost &amp; Savings'!L25</f>
        <v>0</v>
      </c>
      <c r="Y22" s="215">
        <f>'ECM Estimated Cost &amp; Savings'!M25</f>
        <v>0</v>
      </c>
      <c r="Z22" s="216">
        <f t="shared" si="2"/>
        <v>3350</v>
      </c>
      <c r="AA22" s="213">
        <f t="shared" si="3"/>
        <v>357</v>
      </c>
      <c r="AB22" s="214">
        <f t="shared" si="4"/>
        <v>7138</v>
      </c>
      <c r="AC22" s="213">
        <f t="shared" si="5"/>
        <v>647</v>
      </c>
      <c r="AD22" s="214">
        <f t="shared" si="6"/>
        <v>7874</v>
      </c>
      <c r="AE22" s="213">
        <f t="shared" si="7"/>
        <v>575</v>
      </c>
      <c r="AF22" s="177">
        <f t="shared" si="8"/>
        <v>1312</v>
      </c>
      <c r="AG22" s="188">
        <f t="shared" si="9"/>
        <v>1222</v>
      </c>
      <c r="AH22" s="214">
        <f t="shared" si="10"/>
        <v>4994</v>
      </c>
      <c r="AI22" s="217">
        <f t="shared" si="11"/>
        <v>0</v>
      </c>
      <c r="AJ22" s="214">
        <f t="shared" si="12"/>
        <v>17972</v>
      </c>
      <c r="AK22" s="133">
        <v>0</v>
      </c>
      <c r="AL22" s="214">
        <f t="shared" si="13"/>
        <v>1847</v>
      </c>
      <c r="AM22" s="133">
        <v>0</v>
      </c>
      <c r="AN22" s="214">
        <f t="shared" si="14"/>
        <v>1430</v>
      </c>
      <c r="AO22" s="133">
        <v>0</v>
      </c>
      <c r="AP22" s="214">
        <f t="shared" si="15"/>
        <v>13887</v>
      </c>
      <c r="AQ22" s="218">
        <v>0</v>
      </c>
      <c r="AR22" s="216">
        <f t="shared" si="16"/>
        <v>4914</v>
      </c>
      <c r="AS22" s="219">
        <f t="shared" si="17"/>
        <v>49706</v>
      </c>
      <c r="AW22" s="222">
        <f t="shared" si="18"/>
        <v>1781900</v>
      </c>
    </row>
    <row r="23" spans="1:49">
      <c r="A23" s="170">
        <v>3</v>
      </c>
      <c r="B23" s="75" t="s">
        <v>130</v>
      </c>
      <c r="C23" s="132">
        <v>134754</v>
      </c>
      <c r="D23" s="133" t="s">
        <v>130</v>
      </c>
      <c r="E23" s="132">
        <f>'EUI by End Use'!D23</f>
        <v>115</v>
      </c>
      <c r="F23" s="132">
        <f>'EUI by End Use'!F23</f>
        <v>2993000</v>
      </c>
      <c r="G23" s="171">
        <f>'EUI by End Use'!G23</f>
        <v>26026.08695652174</v>
      </c>
      <c r="H23" s="172">
        <v>33</v>
      </c>
      <c r="I23" s="38">
        <v>7512</v>
      </c>
      <c r="J23" s="38">
        <v>29998</v>
      </c>
      <c r="K23" s="38">
        <v>23374</v>
      </c>
      <c r="L23" s="38">
        <v>26768</v>
      </c>
      <c r="M23" s="38">
        <v>1297</v>
      </c>
      <c r="N23" s="38">
        <v>4024</v>
      </c>
      <c r="O23" s="38">
        <v>1145</v>
      </c>
      <c r="P23" s="38">
        <f t="shared" si="0"/>
        <v>40636</v>
      </c>
      <c r="Q23" s="185">
        <f t="shared" si="1"/>
        <v>134754</v>
      </c>
      <c r="R23" s="182">
        <f>'ECM Estimated Cost &amp; Savings'!C26</f>
        <v>0</v>
      </c>
      <c r="S23" s="186">
        <f>'ECM Estimated Cost &amp; Savings'!D26</f>
        <v>0</v>
      </c>
      <c r="T23" s="49">
        <f>'ECM Estimated Cost &amp; Savings'!F26</f>
        <v>0</v>
      </c>
      <c r="U23" s="186">
        <f>'ECM Estimated Cost &amp; Savings'!G26</f>
        <v>0</v>
      </c>
      <c r="V23" s="49">
        <f>'ECM Estimated Cost &amp; Savings'!I26</f>
        <v>11972</v>
      </c>
      <c r="W23" s="186">
        <f>'ECM Estimated Cost &amp; Savings'!J26</f>
        <v>1265</v>
      </c>
      <c r="X23" s="49">
        <f>'ECM Estimated Cost &amp; Savings'!L26</f>
        <v>8269</v>
      </c>
      <c r="Y23" s="187">
        <f>'ECM Estimated Cost &amp; Savings'!M26</f>
        <v>874</v>
      </c>
      <c r="Z23" s="182">
        <f t="shared" si="2"/>
        <v>7512</v>
      </c>
      <c r="AA23" s="186">
        <f t="shared" si="3"/>
        <v>0</v>
      </c>
      <c r="AB23" s="49">
        <f t="shared" si="4"/>
        <v>29998</v>
      </c>
      <c r="AC23" s="186">
        <f t="shared" si="5"/>
        <v>0</v>
      </c>
      <c r="AD23" s="49">
        <f t="shared" si="6"/>
        <v>18026</v>
      </c>
      <c r="AE23" s="186">
        <f t="shared" si="7"/>
        <v>1265</v>
      </c>
      <c r="AF23" s="177">
        <f t="shared" si="8"/>
        <v>18026</v>
      </c>
      <c r="AG23" s="188">
        <f t="shared" si="9"/>
        <v>1265</v>
      </c>
      <c r="AH23" s="49">
        <f t="shared" si="10"/>
        <v>15105</v>
      </c>
      <c r="AI23" s="189">
        <f t="shared" si="11"/>
        <v>874</v>
      </c>
      <c r="AJ23" s="49">
        <f t="shared" si="12"/>
        <v>26768</v>
      </c>
      <c r="AK23" s="75">
        <v>0</v>
      </c>
      <c r="AL23" s="49">
        <f t="shared" si="13"/>
        <v>1297</v>
      </c>
      <c r="AM23" s="75">
        <v>0</v>
      </c>
      <c r="AN23" s="49">
        <f t="shared" si="14"/>
        <v>4024</v>
      </c>
      <c r="AO23" s="75">
        <v>0</v>
      </c>
      <c r="AP23" s="49">
        <f t="shared" si="15"/>
        <v>1145</v>
      </c>
      <c r="AQ23" s="190">
        <v>0</v>
      </c>
      <c r="AR23" s="182">
        <f t="shared" si="16"/>
        <v>40636</v>
      </c>
      <c r="AS23" s="183">
        <f t="shared" si="17"/>
        <v>114513</v>
      </c>
      <c r="AW23" s="222">
        <f t="shared" si="18"/>
        <v>2993000</v>
      </c>
    </row>
    <row r="24" spans="1:49">
      <c r="A24" s="170">
        <v>4</v>
      </c>
      <c r="B24" s="75" t="s">
        <v>130</v>
      </c>
      <c r="C24" s="132">
        <v>63451</v>
      </c>
      <c r="D24" s="133" t="s">
        <v>130</v>
      </c>
      <c r="E24" s="132">
        <f>'EUI by End Use'!D24</f>
        <v>80</v>
      </c>
      <c r="F24" s="132">
        <f>'EUI by End Use'!F24</f>
        <v>1095000</v>
      </c>
      <c r="G24" s="171">
        <f>'EUI by End Use'!G24</f>
        <v>13687.5</v>
      </c>
      <c r="H24" s="184">
        <v>65</v>
      </c>
      <c r="I24" s="38">
        <v>10405</v>
      </c>
      <c r="J24" s="38">
        <v>6461</v>
      </c>
      <c r="K24" s="38">
        <v>13344</v>
      </c>
      <c r="L24" s="38">
        <v>9540</v>
      </c>
      <c r="M24" s="38">
        <v>7977</v>
      </c>
      <c r="N24" s="38">
        <v>938</v>
      </c>
      <c r="O24" s="38">
        <v>6997</v>
      </c>
      <c r="P24" s="38">
        <f t="shared" si="0"/>
        <v>7789</v>
      </c>
      <c r="Q24" s="185">
        <f t="shared" si="1"/>
        <v>63451</v>
      </c>
      <c r="R24" s="182">
        <f>'ECM Estimated Cost &amp; Savings'!C27</f>
        <v>6405</v>
      </c>
      <c r="S24" s="186">
        <f>'ECM Estimated Cost &amp; Savings'!D27</f>
        <v>816</v>
      </c>
      <c r="T24" s="49">
        <f>'ECM Estimated Cost &amp; Savings'!F27</f>
        <v>0</v>
      </c>
      <c r="U24" s="186">
        <f>'ECM Estimated Cost &amp; Savings'!G27</f>
        <v>0</v>
      </c>
      <c r="V24" s="49">
        <f>'ECM Estimated Cost &amp; Savings'!I27</f>
        <v>0</v>
      </c>
      <c r="W24" s="186">
        <f>'ECM Estimated Cost &amp; Savings'!J27</f>
        <v>0</v>
      </c>
      <c r="X24" s="49">
        <f>'ECM Estimated Cost &amp; Savings'!L27</f>
        <v>5059</v>
      </c>
      <c r="Y24" s="187">
        <f>'ECM Estimated Cost &amp; Savings'!M27</f>
        <v>645</v>
      </c>
      <c r="Z24" s="182">
        <f t="shared" si="2"/>
        <v>4000</v>
      </c>
      <c r="AA24" s="186">
        <f t="shared" si="3"/>
        <v>816</v>
      </c>
      <c r="AB24" s="49">
        <f t="shared" si="4"/>
        <v>6461</v>
      </c>
      <c r="AC24" s="186">
        <f t="shared" si="5"/>
        <v>0</v>
      </c>
      <c r="AD24" s="49">
        <f t="shared" si="6"/>
        <v>6461</v>
      </c>
      <c r="AE24" s="186">
        <f t="shared" si="7"/>
        <v>0</v>
      </c>
      <c r="AF24" s="177">
        <f t="shared" si="8"/>
        <v>6461</v>
      </c>
      <c r="AG24" s="188">
        <f t="shared" si="9"/>
        <v>0</v>
      </c>
      <c r="AH24" s="49">
        <f t="shared" si="10"/>
        <v>8285</v>
      </c>
      <c r="AI24" s="189">
        <f t="shared" si="11"/>
        <v>645</v>
      </c>
      <c r="AJ24" s="49">
        <f t="shared" si="12"/>
        <v>9540</v>
      </c>
      <c r="AK24" s="75">
        <v>0</v>
      </c>
      <c r="AL24" s="49">
        <f t="shared" si="13"/>
        <v>7977</v>
      </c>
      <c r="AM24" s="75">
        <v>0</v>
      </c>
      <c r="AN24" s="49">
        <f t="shared" si="14"/>
        <v>938</v>
      </c>
      <c r="AO24" s="75">
        <v>0</v>
      </c>
      <c r="AP24" s="49">
        <f t="shared" si="15"/>
        <v>6997</v>
      </c>
      <c r="AQ24" s="190">
        <v>0</v>
      </c>
      <c r="AR24" s="182">
        <f t="shared" si="16"/>
        <v>7789</v>
      </c>
      <c r="AS24" s="183">
        <f t="shared" si="17"/>
        <v>51987</v>
      </c>
      <c r="AW24" s="222">
        <f t="shared" si="18"/>
        <v>1095000</v>
      </c>
    </row>
    <row r="25" spans="1:49">
      <c r="A25" s="170">
        <v>5</v>
      </c>
      <c r="B25" s="75" t="s">
        <v>130</v>
      </c>
      <c r="C25" s="132">
        <v>101698</v>
      </c>
      <c r="D25" s="133" t="s">
        <v>130</v>
      </c>
      <c r="E25" s="132">
        <f>'EUI by End Use'!D25</f>
        <v>140</v>
      </c>
      <c r="F25" s="132">
        <f>'EUI by End Use'!F25</f>
        <v>2847000</v>
      </c>
      <c r="G25" s="171">
        <f>'EUI by End Use'!G25</f>
        <v>20335.714285714286</v>
      </c>
      <c r="H25" s="172">
        <v>57.5</v>
      </c>
      <c r="I25" s="38">
        <v>16097</v>
      </c>
      <c r="J25" s="38">
        <v>13534</v>
      </c>
      <c r="K25" s="38">
        <v>28676</v>
      </c>
      <c r="L25" s="38">
        <v>19286</v>
      </c>
      <c r="M25" s="38">
        <v>3064</v>
      </c>
      <c r="N25" s="38">
        <v>4292</v>
      </c>
      <c r="O25" s="38">
        <v>383</v>
      </c>
      <c r="P25" s="38">
        <f t="shared" si="0"/>
        <v>16366</v>
      </c>
      <c r="Q25" s="185">
        <f t="shared" si="1"/>
        <v>101698</v>
      </c>
      <c r="R25" s="182">
        <f>'ECM Estimated Cost &amp; Savings'!C28</f>
        <v>10360</v>
      </c>
      <c r="S25" s="186">
        <f>'ECM Estimated Cost &amp; Savings'!D28</f>
        <v>800</v>
      </c>
      <c r="T25" s="49">
        <f>'ECM Estimated Cost &amp; Savings'!F28</f>
        <v>0</v>
      </c>
      <c r="U25" s="186">
        <f>'ECM Estimated Cost &amp; Savings'!G28</f>
        <v>0</v>
      </c>
      <c r="V25" s="49">
        <f>'ECM Estimated Cost &amp; Savings'!I28</f>
        <v>0</v>
      </c>
      <c r="W25" s="186">
        <f>'ECM Estimated Cost &amp; Savings'!J28</f>
        <v>0</v>
      </c>
      <c r="X25" s="49">
        <f>'ECM Estimated Cost &amp; Savings'!L28</f>
        <v>2480</v>
      </c>
      <c r="Y25" s="187">
        <f>'ECM Estimated Cost &amp; Savings'!M28</f>
        <v>198</v>
      </c>
      <c r="Z25" s="182">
        <f t="shared" si="2"/>
        <v>5737</v>
      </c>
      <c r="AA25" s="186">
        <f t="shared" si="3"/>
        <v>800</v>
      </c>
      <c r="AB25" s="49">
        <f t="shared" si="4"/>
        <v>13534</v>
      </c>
      <c r="AC25" s="186">
        <f t="shared" si="5"/>
        <v>0</v>
      </c>
      <c r="AD25" s="49">
        <f t="shared" si="6"/>
        <v>13534</v>
      </c>
      <c r="AE25" s="186">
        <f t="shared" si="7"/>
        <v>0</v>
      </c>
      <c r="AF25" s="177">
        <f t="shared" si="8"/>
        <v>13534</v>
      </c>
      <c r="AG25" s="188">
        <f t="shared" si="9"/>
        <v>0</v>
      </c>
      <c r="AH25" s="49">
        <f t="shared" si="10"/>
        <v>26196</v>
      </c>
      <c r="AI25" s="189">
        <f t="shared" si="11"/>
        <v>198</v>
      </c>
      <c r="AJ25" s="49">
        <f t="shared" si="12"/>
        <v>19286</v>
      </c>
      <c r="AK25" s="75">
        <v>0</v>
      </c>
      <c r="AL25" s="49">
        <f t="shared" si="13"/>
        <v>3064</v>
      </c>
      <c r="AM25" s="75">
        <v>0</v>
      </c>
      <c r="AN25" s="49">
        <f t="shared" si="14"/>
        <v>4292</v>
      </c>
      <c r="AO25" s="75">
        <v>0</v>
      </c>
      <c r="AP25" s="49">
        <f t="shared" si="15"/>
        <v>383</v>
      </c>
      <c r="AQ25" s="190">
        <v>0</v>
      </c>
      <c r="AR25" s="182">
        <f t="shared" si="16"/>
        <v>16366</v>
      </c>
      <c r="AS25" s="183">
        <f t="shared" si="17"/>
        <v>88858</v>
      </c>
      <c r="AW25" s="222">
        <f t="shared" si="18"/>
        <v>2847000</v>
      </c>
    </row>
    <row r="26" spans="1:49">
      <c r="A26" s="170">
        <v>6</v>
      </c>
      <c r="B26" s="75" t="s">
        <v>130</v>
      </c>
      <c r="C26" s="132">
        <v>92598</v>
      </c>
      <c r="D26" s="133" t="s">
        <v>130</v>
      </c>
      <c r="E26" s="132">
        <f>'EUI by End Use'!D26</f>
        <v>85</v>
      </c>
      <c r="F26" s="132">
        <f>'EUI by End Use'!F26</f>
        <v>1300000</v>
      </c>
      <c r="G26" s="171">
        <f>'EUI by End Use'!G26</f>
        <v>15294.117647058823</v>
      </c>
      <c r="H26" s="184">
        <v>63</v>
      </c>
      <c r="I26" s="38">
        <v>10731</v>
      </c>
      <c r="J26" s="38">
        <v>11317</v>
      </c>
      <c r="K26" s="38">
        <v>15158</v>
      </c>
      <c r="L26" s="38">
        <v>18291</v>
      </c>
      <c r="M26" s="38">
        <v>4825</v>
      </c>
      <c r="N26" s="38">
        <v>2176</v>
      </c>
      <c r="O26" s="38">
        <v>11820</v>
      </c>
      <c r="P26" s="38">
        <f t="shared" si="0"/>
        <v>18280</v>
      </c>
      <c r="Q26" s="185">
        <f t="shared" si="1"/>
        <v>92598</v>
      </c>
      <c r="R26" s="182">
        <f>'ECM Estimated Cost &amp; Savings'!C29</f>
        <v>6481</v>
      </c>
      <c r="S26" s="186">
        <f>'ECM Estimated Cost &amp; Savings'!D29</f>
        <v>649</v>
      </c>
      <c r="T26" s="49">
        <f>'ECM Estimated Cost &amp; Savings'!F29</f>
        <v>0</v>
      </c>
      <c r="U26" s="186">
        <f>'ECM Estimated Cost &amp; Savings'!G29</f>
        <v>0</v>
      </c>
      <c r="V26" s="49">
        <f>'ECM Estimated Cost &amp; Savings'!I29</f>
        <v>6752</v>
      </c>
      <c r="W26" s="186">
        <f>'ECM Estimated Cost &amp; Savings'!J29</f>
        <v>676</v>
      </c>
      <c r="X26" s="49">
        <f>'ECM Estimated Cost &amp; Savings'!L29</f>
        <v>6202</v>
      </c>
      <c r="Y26" s="187">
        <f>'ECM Estimated Cost &amp; Savings'!M29</f>
        <v>621</v>
      </c>
      <c r="Z26" s="182">
        <f t="shared" si="2"/>
        <v>4250</v>
      </c>
      <c r="AA26" s="186">
        <f t="shared" si="3"/>
        <v>649</v>
      </c>
      <c r="AB26" s="49">
        <f t="shared" si="4"/>
        <v>11317</v>
      </c>
      <c r="AC26" s="186">
        <f t="shared" si="5"/>
        <v>0</v>
      </c>
      <c r="AD26" s="49">
        <f t="shared" si="6"/>
        <v>4565</v>
      </c>
      <c r="AE26" s="186">
        <f t="shared" si="7"/>
        <v>676</v>
      </c>
      <c r="AF26" s="177">
        <f t="shared" si="8"/>
        <v>4565</v>
      </c>
      <c r="AG26" s="188">
        <f t="shared" si="9"/>
        <v>676</v>
      </c>
      <c r="AH26" s="49">
        <f t="shared" si="10"/>
        <v>8956</v>
      </c>
      <c r="AI26" s="189">
        <f t="shared" si="11"/>
        <v>621</v>
      </c>
      <c r="AJ26" s="49">
        <f t="shared" si="12"/>
        <v>18291</v>
      </c>
      <c r="AK26" s="75">
        <v>0</v>
      </c>
      <c r="AL26" s="49">
        <f t="shared" si="13"/>
        <v>4825</v>
      </c>
      <c r="AM26" s="75">
        <v>0</v>
      </c>
      <c r="AN26" s="49">
        <f t="shared" si="14"/>
        <v>2176</v>
      </c>
      <c r="AO26" s="75">
        <v>0</v>
      </c>
      <c r="AP26" s="49">
        <f t="shared" si="15"/>
        <v>11820</v>
      </c>
      <c r="AQ26" s="190">
        <v>0</v>
      </c>
      <c r="AR26" s="182">
        <f t="shared" si="16"/>
        <v>18280</v>
      </c>
      <c r="AS26" s="183">
        <f t="shared" si="17"/>
        <v>73163</v>
      </c>
      <c r="AW26" s="222">
        <f t="shared" si="18"/>
        <v>1300000</v>
      </c>
    </row>
    <row r="27" spans="1:49">
      <c r="A27" s="170">
        <v>7</v>
      </c>
      <c r="B27" s="75" t="s">
        <v>130</v>
      </c>
      <c r="C27" s="132">
        <v>41598</v>
      </c>
      <c r="D27" s="133" t="s">
        <v>130</v>
      </c>
      <c r="E27" s="132">
        <f>'EUI by End Use'!D27</f>
        <v>60</v>
      </c>
      <c r="F27" s="132">
        <f>'EUI by End Use'!F27</f>
        <v>1260000</v>
      </c>
      <c r="G27" s="171">
        <f>'EUI by End Use'!G27</f>
        <v>21000</v>
      </c>
      <c r="H27" s="184">
        <v>86.6</v>
      </c>
      <c r="I27" s="38">
        <v>10397</v>
      </c>
      <c r="J27" s="38">
        <v>12322</v>
      </c>
      <c r="K27" s="38">
        <v>6233</v>
      </c>
      <c r="L27" s="38">
        <v>6552</v>
      </c>
      <c r="M27" s="38">
        <v>2653</v>
      </c>
      <c r="N27" s="38">
        <v>358</v>
      </c>
      <c r="O27" s="38">
        <v>270</v>
      </c>
      <c r="P27" s="38">
        <f t="shared" si="0"/>
        <v>2813</v>
      </c>
      <c r="Q27" s="185">
        <f t="shared" si="1"/>
        <v>41598</v>
      </c>
      <c r="R27" s="182">
        <f>'ECM Estimated Cost &amp; Savings'!C30</f>
        <v>7000</v>
      </c>
      <c r="S27" s="186">
        <f>'ECM Estimated Cost &amp; Savings'!D30</f>
        <v>540</v>
      </c>
      <c r="T27" s="49">
        <f>'ECM Estimated Cost &amp; Savings'!F30</f>
        <v>0</v>
      </c>
      <c r="U27" s="186">
        <f>'ECM Estimated Cost &amp; Savings'!G30</f>
        <v>0</v>
      </c>
      <c r="V27" s="49">
        <f>'ECM Estimated Cost &amp; Savings'!I30</f>
        <v>5040</v>
      </c>
      <c r="W27" s="186">
        <f>'ECM Estimated Cost &amp; Savings'!J30</f>
        <v>386</v>
      </c>
      <c r="X27" s="49">
        <f>'ECM Estimated Cost &amp; Savings'!L30</f>
        <v>0</v>
      </c>
      <c r="Y27" s="187">
        <f>'ECM Estimated Cost &amp; Savings'!M30</f>
        <v>0</v>
      </c>
      <c r="Z27" s="182">
        <f t="shared" si="2"/>
        <v>3397</v>
      </c>
      <c r="AA27" s="186">
        <f t="shared" si="3"/>
        <v>540</v>
      </c>
      <c r="AB27" s="49">
        <f t="shared" si="4"/>
        <v>12322</v>
      </c>
      <c r="AC27" s="186">
        <f t="shared" si="5"/>
        <v>0</v>
      </c>
      <c r="AD27" s="49">
        <f t="shared" si="6"/>
        <v>7282</v>
      </c>
      <c r="AE27" s="186">
        <f t="shared" si="7"/>
        <v>386</v>
      </c>
      <c r="AF27" s="177">
        <f t="shared" si="8"/>
        <v>7282</v>
      </c>
      <c r="AG27" s="188">
        <f t="shared" si="9"/>
        <v>386</v>
      </c>
      <c r="AH27" s="49">
        <f t="shared" si="10"/>
        <v>6233</v>
      </c>
      <c r="AI27" s="189">
        <f t="shared" si="11"/>
        <v>0</v>
      </c>
      <c r="AJ27" s="49">
        <f t="shared" si="12"/>
        <v>6552</v>
      </c>
      <c r="AK27" s="75">
        <v>0</v>
      </c>
      <c r="AL27" s="49">
        <f t="shared" si="13"/>
        <v>2653</v>
      </c>
      <c r="AM27" s="75">
        <v>0</v>
      </c>
      <c r="AN27" s="49">
        <f t="shared" si="14"/>
        <v>358</v>
      </c>
      <c r="AO27" s="75">
        <v>0</v>
      </c>
      <c r="AP27" s="49">
        <f t="shared" si="15"/>
        <v>270</v>
      </c>
      <c r="AQ27" s="190">
        <v>0</v>
      </c>
      <c r="AR27" s="182">
        <f t="shared" si="16"/>
        <v>2813</v>
      </c>
      <c r="AS27" s="183">
        <f t="shared" si="17"/>
        <v>29558</v>
      </c>
      <c r="AW27" s="222">
        <f t="shared" si="18"/>
        <v>1260000</v>
      </c>
    </row>
    <row r="28" spans="1:49">
      <c r="A28" s="170">
        <v>8</v>
      </c>
      <c r="B28" s="75" t="s">
        <v>130</v>
      </c>
      <c r="C28" s="132">
        <v>65083</v>
      </c>
      <c r="D28" s="133" t="s">
        <v>130</v>
      </c>
      <c r="E28" s="132">
        <f>'EUI by End Use'!D28</f>
        <v>42</v>
      </c>
      <c r="F28" s="132">
        <f>'EUI by End Use'!F28</f>
        <v>750300</v>
      </c>
      <c r="G28" s="171">
        <f>'EUI by End Use'!G28</f>
        <v>17864.285714285714</v>
      </c>
      <c r="H28" s="184">
        <v>89.7</v>
      </c>
      <c r="I28" s="38">
        <v>7532</v>
      </c>
      <c r="J28" s="38">
        <v>14200</v>
      </c>
      <c r="K28" s="38">
        <v>3851</v>
      </c>
      <c r="L28" s="38">
        <v>5909</v>
      </c>
      <c r="M28" s="38">
        <v>2917</v>
      </c>
      <c r="N28" s="38">
        <v>179</v>
      </c>
      <c r="O28" s="38">
        <v>18780</v>
      </c>
      <c r="P28" s="38">
        <f t="shared" si="0"/>
        <v>11715</v>
      </c>
      <c r="Q28" s="185">
        <f t="shared" si="1"/>
        <v>65083</v>
      </c>
      <c r="R28" s="182">
        <f>'ECM Estimated Cost &amp; Savings'!C31</f>
        <v>0</v>
      </c>
      <c r="S28" s="213">
        <f>'ECM Estimated Cost &amp; Savings'!D31</f>
        <v>0</v>
      </c>
      <c r="T28" s="214">
        <f>'ECM Estimated Cost &amp; Savings'!F31</f>
        <v>5000</v>
      </c>
      <c r="U28" s="213">
        <f>'ECM Estimated Cost &amp; Savings'!G31</f>
        <v>511</v>
      </c>
      <c r="V28" s="214">
        <f>'ECM Estimated Cost &amp; Savings'!I31</f>
        <v>0</v>
      </c>
      <c r="W28" s="213">
        <f>'ECM Estimated Cost &amp; Savings'!J31</f>
        <v>0</v>
      </c>
      <c r="X28" s="214">
        <f>'ECM Estimated Cost &amp; Savings'!L31</f>
        <v>4860</v>
      </c>
      <c r="Y28" s="215">
        <f>'ECM Estimated Cost &amp; Savings'!M31</f>
        <v>486</v>
      </c>
      <c r="Z28" s="216">
        <f t="shared" si="2"/>
        <v>7532</v>
      </c>
      <c r="AA28" s="213">
        <f t="shared" si="3"/>
        <v>0</v>
      </c>
      <c r="AB28" s="214">
        <f t="shared" si="4"/>
        <v>9200</v>
      </c>
      <c r="AC28" s="213">
        <f t="shared" si="5"/>
        <v>511</v>
      </c>
      <c r="AD28" s="214">
        <f t="shared" si="6"/>
        <v>14200</v>
      </c>
      <c r="AE28" s="213">
        <f t="shared" si="7"/>
        <v>0</v>
      </c>
      <c r="AF28" s="177">
        <f t="shared" si="8"/>
        <v>9200</v>
      </c>
      <c r="AG28" s="188">
        <f t="shared" si="9"/>
        <v>511</v>
      </c>
      <c r="AH28" s="214">
        <f t="shared" si="10"/>
        <v>-1009</v>
      </c>
      <c r="AI28" s="217">
        <f t="shared" si="11"/>
        <v>486</v>
      </c>
      <c r="AJ28" s="214">
        <f t="shared" si="12"/>
        <v>5909</v>
      </c>
      <c r="AK28" s="133">
        <v>0</v>
      </c>
      <c r="AL28" s="214">
        <f t="shared" si="13"/>
        <v>2917</v>
      </c>
      <c r="AM28" s="133">
        <v>0</v>
      </c>
      <c r="AN28" s="214">
        <f t="shared" si="14"/>
        <v>179</v>
      </c>
      <c r="AO28" s="133">
        <v>0</v>
      </c>
      <c r="AP28" s="214">
        <f t="shared" si="15"/>
        <v>18780</v>
      </c>
      <c r="AQ28" s="218">
        <v>0</v>
      </c>
      <c r="AR28" s="216">
        <f t="shared" si="16"/>
        <v>11715</v>
      </c>
      <c r="AS28" s="219">
        <f t="shared" si="17"/>
        <v>55223</v>
      </c>
      <c r="AW28" s="222">
        <f t="shared" si="18"/>
        <v>750300</v>
      </c>
    </row>
    <row r="29" spans="1:49">
      <c r="A29" s="170">
        <v>9</v>
      </c>
      <c r="B29" s="75" t="s">
        <v>130</v>
      </c>
      <c r="C29" s="132">
        <v>96326</v>
      </c>
      <c r="D29" s="133" t="s">
        <v>130</v>
      </c>
      <c r="E29" s="132">
        <f>'EUI by End Use'!D29</f>
        <v>81</v>
      </c>
      <c r="F29" s="132">
        <f>'EUI by End Use'!F29</f>
        <v>1934500</v>
      </c>
      <c r="G29" s="171">
        <f>'EUI by End Use'!G29</f>
        <v>23882.716049382718</v>
      </c>
      <c r="H29" s="184">
        <v>116</v>
      </c>
      <c r="I29" s="38">
        <v>18779</v>
      </c>
      <c r="J29" s="38">
        <v>25614</v>
      </c>
      <c r="K29" s="38">
        <v>12789</v>
      </c>
      <c r="L29" s="38">
        <v>18234</v>
      </c>
      <c r="M29" s="38">
        <v>7461</v>
      </c>
      <c r="N29" s="38">
        <v>544</v>
      </c>
      <c r="O29" s="38">
        <v>1365</v>
      </c>
      <c r="P29" s="38">
        <f t="shared" si="0"/>
        <v>11540</v>
      </c>
      <c r="Q29" s="185">
        <f t="shared" si="1"/>
        <v>96326</v>
      </c>
      <c r="R29" s="182">
        <f>'ECM Estimated Cost &amp; Savings'!C32</f>
        <v>14729</v>
      </c>
      <c r="S29" s="186">
        <f>'ECM Estimated Cost &amp; Savings'!D32</f>
        <v>1193</v>
      </c>
      <c r="T29" s="49">
        <f>'ECM Estimated Cost &amp; Savings'!F32</f>
        <v>0</v>
      </c>
      <c r="U29" s="186">
        <f>'ECM Estimated Cost &amp; Savings'!G32</f>
        <v>0</v>
      </c>
      <c r="V29" s="49">
        <f>'ECM Estimated Cost &amp; Savings'!I32</f>
        <v>0</v>
      </c>
      <c r="W29" s="186">
        <f>'ECM Estimated Cost &amp; Savings'!J32</f>
        <v>0</v>
      </c>
      <c r="X29" s="49">
        <f>'ECM Estimated Cost &amp; Savings'!L32</f>
        <v>906</v>
      </c>
      <c r="Y29" s="187">
        <f>'ECM Estimated Cost &amp; Savings'!M32</f>
        <v>73</v>
      </c>
      <c r="Z29" s="182">
        <f t="shared" si="2"/>
        <v>4050</v>
      </c>
      <c r="AA29" s="186">
        <f t="shared" si="3"/>
        <v>1193</v>
      </c>
      <c r="AB29" s="49">
        <f t="shared" si="4"/>
        <v>25614</v>
      </c>
      <c r="AC29" s="186">
        <f t="shared" si="5"/>
        <v>0</v>
      </c>
      <c r="AD29" s="49">
        <f t="shared" si="6"/>
        <v>25614</v>
      </c>
      <c r="AE29" s="186">
        <f t="shared" si="7"/>
        <v>0</v>
      </c>
      <c r="AF29" s="177">
        <f t="shared" si="8"/>
        <v>25614</v>
      </c>
      <c r="AG29" s="188">
        <f t="shared" si="9"/>
        <v>0</v>
      </c>
      <c r="AH29" s="49">
        <f t="shared" si="10"/>
        <v>11883</v>
      </c>
      <c r="AI29" s="189">
        <f t="shared" si="11"/>
        <v>73</v>
      </c>
      <c r="AJ29" s="49">
        <f t="shared" si="12"/>
        <v>18234</v>
      </c>
      <c r="AK29" s="75">
        <v>0</v>
      </c>
      <c r="AL29" s="49">
        <f t="shared" si="13"/>
        <v>7461</v>
      </c>
      <c r="AM29" s="75">
        <v>0</v>
      </c>
      <c r="AN29" s="49">
        <f t="shared" si="14"/>
        <v>544</v>
      </c>
      <c r="AO29" s="75">
        <v>0</v>
      </c>
      <c r="AP29" s="49">
        <f t="shared" si="15"/>
        <v>1365</v>
      </c>
      <c r="AQ29" s="190">
        <v>0</v>
      </c>
      <c r="AR29" s="182">
        <f t="shared" si="16"/>
        <v>11540</v>
      </c>
      <c r="AS29" s="183">
        <f t="shared" si="17"/>
        <v>80691</v>
      </c>
      <c r="AW29" s="222">
        <f t="shared" si="18"/>
        <v>1934500</v>
      </c>
    </row>
    <row r="30" spans="1:49">
      <c r="A30" s="170">
        <v>10</v>
      </c>
      <c r="B30" s="75" t="s">
        <v>130</v>
      </c>
      <c r="C30" s="132">
        <v>51030</v>
      </c>
      <c r="D30" s="133" t="s">
        <v>130</v>
      </c>
      <c r="E30" s="132">
        <f>'EUI by End Use'!D30</f>
        <v>72</v>
      </c>
      <c r="F30" s="132">
        <f>'EUI by End Use'!F30</f>
        <v>1368800</v>
      </c>
      <c r="G30" s="171">
        <f>'EUI by End Use'!G30</f>
        <v>19011.111111111109</v>
      </c>
      <c r="H30" s="184">
        <v>71</v>
      </c>
      <c r="I30" s="38">
        <v>10159</v>
      </c>
      <c r="J30" s="38">
        <v>10962</v>
      </c>
      <c r="K30" s="38">
        <v>2917</v>
      </c>
      <c r="L30" s="38">
        <v>8225</v>
      </c>
      <c r="M30" s="38">
        <v>1968</v>
      </c>
      <c r="N30" s="38">
        <v>2423</v>
      </c>
      <c r="O30" s="38">
        <v>5033</v>
      </c>
      <c r="P30" s="38">
        <f t="shared" si="0"/>
        <v>9343</v>
      </c>
      <c r="Q30" s="185">
        <f t="shared" si="1"/>
        <v>51030</v>
      </c>
      <c r="R30" s="182">
        <f>'ECM Estimated Cost &amp; Savings'!C33</f>
        <v>6559</v>
      </c>
      <c r="S30" s="186">
        <f>'ECM Estimated Cost &amp; Savings'!D33</f>
        <v>662</v>
      </c>
      <c r="T30" s="49">
        <f>'ECM Estimated Cost &amp; Savings'!F33</f>
        <v>0</v>
      </c>
      <c r="U30" s="186">
        <f>'ECM Estimated Cost &amp; Savings'!G33</f>
        <v>0</v>
      </c>
      <c r="V30" s="49">
        <f>'ECM Estimated Cost &amp; Savings'!I33</f>
        <v>0</v>
      </c>
      <c r="W30" s="186">
        <f>'ECM Estimated Cost &amp; Savings'!J33</f>
        <v>0</v>
      </c>
      <c r="X30" s="49">
        <f>'ECM Estimated Cost &amp; Savings'!L33</f>
        <v>0</v>
      </c>
      <c r="Y30" s="187">
        <f>'ECM Estimated Cost &amp; Savings'!M33</f>
        <v>0</v>
      </c>
      <c r="Z30" s="182">
        <f t="shared" si="2"/>
        <v>3600</v>
      </c>
      <c r="AA30" s="186">
        <f t="shared" si="3"/>
        <v>662</v>
      </c>
      <c r="AB30" s="49">
        <f t="shared" si="4"/>
        <v>10962</v>
      </c>
      <c r="AC30" s="186">
        <f t="shared" si="5"/>
        <v>0</v>
      </c>
      <c r="AD30" s="49">
        <f t="shared" si="6"/>
        <v>10962</v>
      </c>
      <c r="AE30" s="186">
        <f t="shared" si="7"/>
        <v>0</v>
      </c>
      <c r="AF30" s="177">
        <f t="shared" si="8"/>
        <v>10962</v>
      </c>
      <c r="AG30" s="188">
        <f t="shared" si="9"/>
        <v>0</v>
      </c>
      <c r="AH30" s="49">
        <f t="shared" si="10"/>
        <v>2917</v>
      </c>
      <c r="AI30" s="189">
        <f t="shared" si="11"/>
        <v>0</v>
      </c>
      <c r="AJ30" s="49">
        <f t="shared" si="12"/>
        <v>8225</v>
      </c>
      <c r="AK30" s="75">
        <v>0</v>
      </c>
      <c r="AL30" s="49">
        <f t="shared" si="13"/>
        <v>1968</v>
      </c>
      <c r="AM30" s="75">
        <v>0</v>
      </c>
      <c r="AN30" s="49">
        <f t="shared" si="14"/>
        <v>2423</v>
      </c>
      <c r="AO30" s="75">
        <v>0</v>
      </c>
      <c r="AP30" s="49">
        <f t="shared" si="15"/>
        <v>5033</v>
      </c>
      <c r="AQ30" s="190">
        <v>0</v>
      </c>
      <c r="AR30" s="182">
        <f t="shared" si="16"/>
        <v>9343</v>
      </c>
      <c r="AS30" s="183">
        <f t="shared" si="17"/>
        <v>44471</v>
      </c>
      <c r="AW30" s="222">
        <f t="shared" si="18"/>
        <v>1368800</v>
      </c>
    </row>
    <row r="31" spans="1:49">
      <c r="A31" s="170">
        <v>11</v>
      </c>
      <c r="B31" s="75" t="s">
        <v>130</v>
      </c>
      <c r="C31" s="132">
        <v>64560</v>
      </c>
      <c r="D31" s="133" t="s">
        <v>130</v>
      </c>
      <c r="E31" s="132">
        <f>'EUI by End Use'!D31</f>
        <v>100</v>
      </c>
      <c r="F31" s="132">
        <f>'EUI by End Use'!F31</f>
        <v>2007500</v>
      </c>
      <c r="G31" s="171">
        <f>'EUI by End Use'!G31</f>
        <v>20075</v>
      </c>
      <c r="H31" s="184">
        <v>64</v>
      </c>
      <c r="I31" s="38">
        <v>12770</v>
      </c>
      <c r="J31" s="38">
        <v>15332</v>
      </c>
      <c r="K31" s="38">
        <v>9234</v>
      </c>
      <c r="L31" s="38">
        <v>8841</v>
      </c>
      <c r="M31" s="38">
        <v>8943</v>
      </c>
      <c r="N31" s="38">
        <v>1926</v>
      </c>
      <c r="O31" s="38">
        <v>3285</v>
      </c>
      <c r="P31" s="38">
        <f t="shared" si="0"/>
        <v>4229</v>
      </c>
      <c r="Q31" s="185">
        <f t="shared" si="1"/>
        <v>64560</v>
      </c>
      <c r="R31" s="182">
        <f>'ECM Estimated Cost &amp; Savings'!C34</f>
        <v>7770</v>
      </c>
      <c r="S31" s="186">
        <f>'ECM Estimated Cost &amp; Savings'!D34</f>
        <v>911</v>
      </c>
      <c r="T31" s="49">
        <f>'ECM Estimated Cost &amp; Savings'!F34</f>
        <v>0</v>
      </c>
      <c r="U31" s="186">
        <f>'ECM Estimated Cost &amp; Savings'!G34</f>
        <v>0</v>
      </c>
      <c r="V31" s="49">
        <f>'ECM Estimated Cost &amp; Savings'!I34</f>
        <v>0</v>
      </c>
      <c r="W31" s="186">
        <f>'ECM Estimated Cost &amp; Savings'!J34</f>
        <v>0</v>
      </c>
      <c r="X31" s="49">
        <f>'ECM Estimated Cost &amp; Savings'!L34</f>
        <v>5645</v>
      </c>
      <c r="Y31" s="187">
        <f>'ECM Estimated Cost &amp; Savings'!M34</f>
        <v>662</v>
      </c>
      <c r="Z31" s="182">
        <f t="shared" si="2"/>
        <v>5000</v>
      </c>
      <c r="AA31" s="186">
        <f t="shared" si="3"/>
        <v>911</v>
      </c>
      <c r="AB31" s="49">
        <f t="shared" si="4"/>
        <v>15332</v>
      </c>
      <c r="AC31" s="186">
        <f t="shared" si="5"/>
        <v>0</v>
      </c>
      <c r="AD31" s="49">
        <f t="shared" si="6"/>
        <v>15332</v>
      </c>
      <c r="AE31" s="186">
        <f t="shared" si="7"/>
        <v>0</v>
      </c>
      <c r="AF31" s="177">
        <f t="shared" si="8"/>
        <v>15332</v>
      </c>
      <c r="AG31" s="188">
        <f t="shared" si="9"/>
        <v>0</v>
      </c>
      <c r="AH31" s="49">
        <f t="shared" si="10"/>
        <v>3589</v>
      </c>
      <c r="AI31" s="189">
        <f t="shared" si="11"/>
        <v>662</v>
      </c>
      <c r="AJ31" s="49">
        <f t="shared" si="12"/>
        <v>8841</v>
      </c>
      <c r="AK31" s="75">
        <v>0</v>
      </c>
      <c r="AL31" s="49">
        <f t="shared" si="13"/>
        <v>8943</v>
      </c>
      <c r="AM31" s="75">
        <v>0</v>
      </c>
      <c r="AN31" s="49">
        <f t="shared" si="14"/>
        <v>1926</v>
      </c>
      <c r="AO31" s="75">
        <v>0</v>
      </c>
      <c r="AP31" s="49">
        <f t="shared" si="15"/>
        <v>3285</v>
      </c>
      <c r="AQ31" s="190">
        <v>0</v>
      </c>
      <c r="AR31" s="182">
        <f t="shared" si="16"/>
        <v>4229</v>
      </c>
      <c r="AS31" s="183">
        <f t="shared" si="17"/>
        <v>51145</v>
      </c>
      <c r="AW31" s="222">
        <f t="shared" si="18"/>
        <v>2007500</v>
      </c>
    </row>
    <row r="32" spans="1:49">
      <c r="A32" s="170">
        <v>12</v>
      </c>
      <c r="B32" s="75" t="s">
        <v>130</v>
      </c>
      <c r="C32" s="132">
        <v>85132</v>
      </c>
      <c r="D32" s="133" t="s">
        <v>130</v>
      </c>
      <c r="E32" s="132">
        <f>'EUI by End Use'!D32</f>
        <v>80</v>
      </c>
      <c r="F32" s="132">
        <f>'EUI by End Use'!F32</f>
        <v>1752000</v>
      </c>
      <c r="G32" s="171">
        <f>'EUI by End Use'!G32</f>
        <v>21900</v>
      </c>
      <c r="H32" s="184">
        <v>104</v>
      </c>
      <c r="I32" s="38">
        <v>16704</v>
      </c>
      <c r="J32" s="38">
        <v>14587</v>
      </c>
      <c r="K32" s="38">
        <v>6491</v>
      </c>
      <c r="L32" s="38">
        <v>19533</v>
      </c>
      <c r="M32" s="38">
        <v>2482</v>
      </c>
      <c r="N32" s="38">
        <v>1431</v>
      </c>
      <c r="O32" s="38">
        <v>456</v>
      </c>
      <c r="P32" s="38">
        <f t="shared" si="0"/>
        <v>23448</v>
      </c>
      <c r="Q32" s="185">
        <f t="shared" si="1"/>
        <v>85132</v>
      </c>
      <c r="R32" s="182">
        <f>'ECM Estimated Cost &amp; Savings'!C35</f>
        <v>13705</v>
      </c>
      <c r="S32" s="186">
        <f>'ECM Estimated Cost &amp; Savings'!D35</f>
        <v>1531</v>
      </c>
      <c r="T32" s="49">
        <f>'ECM Estimated Cost &amp; Savings'!F35</f>
        <v>0</v>
      </c>
      <c r="U32" s="186">
        <f>'ECM Estimated Cost &amp; Savings'!G35</f>
        <v>0</v>
      </c>
      <c r="V32" s="49">
        <f>'ECM Estimated Cost &amp; Savings'!I35</f>
        <v>0</v>
      </c>
      <c r="W32" s="186">
        <f>'ECM Estimated Cost &amp; Savings'!J35</f>
        <v>0</v>
      </c>
      <c r="X32" s="49">
        <f>'ECM Estimated Cost &amp; Savings'!L35</f>
        <v>1229</v>
      </c>
      <c r="Y32" s="187">
        <f>'ECM Estimated Cost &amp; Savings'!M35</f>
        <v>148</v>
      </c>
      <c r="Z32" s="182">
        <f t="shared" si="2"/>
        <v>2999</v>
      </c>
      <c r="AA32" s="186">
        <f t="shared" si="3"/>
        <v>1531</v>
      </c>
      <c r="AB32" s="49">
        <f t="shared" si="4"/>
        <v>14587</v>
      </c>
      <c r="AC32" s="186">
        <f t="shared" si="5"/>
        <v>0</v>
      </c>
      <c r="AD32" s="49">
        <f t="shared" si="6"/>
        <v>14587</v>
      </c>
      <c r="AE32" s="186">
        <f t="shared" si="7"/>
        <v>0</v>
      </c>
      <c r="AF32" s="177">
        <f t="shared" si="8"/>
        <v>14587</v>
      </c>
      <c r="AG32" s="188">
        <f t="shared" si="9"/>
        <v>0</v>
      </c>
      <c r="AH32" s="49">
        <f t="shared" si="10"/>
        <v>5262</v>
      </c>
      <c r="AI32" s="189">
        <f t="shared" si="11"/>
        <v>148</v>
      </c>
      <c r="AJ32" s="49">
        <f t="shared" si="12"/>
        <v>19533</v>
      </c>
      <c r="AK32" s="75">
        <v>0</v>
      </c>
      <c r="AL32" s="49">
        <f t="shared" si="13"/>
        <v>2482</v>
      </c>
      <c r="AM32" s="75">
        <v>0</v>
      </c>
      <c r="AN32" s="49">
        <f t="shared" si="14"/>
        <v>1431</v>
      </c>
      <c r="AO32" s="75">
        <v>0</v>
      </c>
      <c r="AP32" s="49">
        <f t="shared" si="15"/>
        <v>456</v>
      </c>
      <c r="AQ32" s="190">
        <v>0</v>
      </c>
      <c r="AR32" s="182">
        <f t="shared" si="16"/>
        <v>23448</v>
      </c>
      <c r="AS32" s="183">
        <f t="shared" si="17"/>
        <v>70198</v>
      </c>
      <c r="AW32" s="222">
        <f t="shared" si="18"/>
        <v>1752000</v>
      </c>
    </row>
    <row r="33" spans="1:49">
      <c r="A33" s="170">
        <v>13</v>
      </c>
      <c r="B33" s="75" t="s">
        <v>130</v>
      </c>
      <c r="C33" s="132">
        <v>56090</v>
      </c>
      <c r="D33" s="133" t="s">
        <v>130</v>
      </c>
      <c r="E33" s="132">
        <f>'EUI by End Use'!D33</f>
        <v>42</v>
      </c>
      <c r="F33" s="132">
        <f>'EUI by End Use'!F33</f>
        <v>839500</v>
      </c>
      <c r="G33" s="171">
        <f>'EUI by End Use'!G33</f>
        <v>19988.095238095237</v>
      </c>
      <c r="H33" s="184">
        <v>81</v>
      </c>
      <c r="I33" s="38">
        <v>10033</v>
      </c>
      <c r="J33" s="38">
        <v>8736</v>
      </c>
      <c r="K33" s="38">
        <v>4949</v>
      </c>
      <c r="L33" s="38">
        <v>5097</v>
      </c>
      <c r="M33" s="38">
        <v>10425</v>
      </c>
      <c r="N33" s="38">
        <v>1471</v>
      </c>
      <c r="O33" s="38">
        <v>20367</v>
      </c>
      <c r="P33" s="38">
        <f t="shared" si="0"/>
        <v>-4988</v>
      </c>
      <c r="Q33" s="185">
        <f t="shared" si="1"/>
        <v>56090</v>
      </c>
      <c r="R33" s="182">
        <f>'ECM Estimated Cost &amp; Savings'!C36</f>
        <v>7183</v>
      </c>
      <c r="S33" s="186">
        <f>'ECM Estimated Cost &amp; Savings'!D36</f>
        <v>800</v>
      </c>
      <c r="T33" s="49">
        <f>'ECM Estimated Cost &amp; Savings'!F36</f>
        <v>0</v>
      </c>
      <c r="U33" s="186">
        <f>'ECM Estimated Cost &amp; Savings'!G36</f>
        <v>0</v>
      </c>
      <c r="V33" s="49">
        <f>'ECM Estimated Cost &amp; Savings'!I36</f>
        <v>0</v>
      </c>
      <c r="W33" s="186">
        <f>'ECM Estimated Cost &amp; Savings'!J36</f>
        <v>0</v>
      </c>
      <c r="X33" s="49">
        <f>'ECM Estimated Cost &amp; Savings'!L36</f>
        <v>1086</v>
      </c>
      <c r="Y33" s="187">
        <f>'ECM Estimated Cost &amp; Savings'!M36</f>
        <v>121</v>
      </c>
      <c r="Z33" s="182">
        <f t="shared" si="2"/>
        <v>2850</v>
      </c>
      <c r="AA33" s="186">
        <f t="shared" si="3"/>
        <v>800</v>
      </c>
      <c r="AB33" s="49">
        <f t="shared" si="4"/>
        <v>8736</v>
      </c>
      <c r="AC33" s="186">
        <f t="shared" si="5"/>
        <v>0</v>
      </c>
      <c r="AD33" s="49">
        <f t="shared" si="6"/>
        <v>8736</v>
      </c>
      <c r="AE33" s="186">
        <f t="shared" si="7"/>
        <v>0</v>
      </c>
      <c r="AF33" s="177">
        <f t="shared" si="8"/>
        <v>8736</v>
      </c>
      <c r="AG33" s="188">
        <f t="shared" si="9"/>
        <v>0</v>
      </c>
      <c r="AH33" s="49">
        <f t="shared" si="10"/>
        <v>3863</v>
      </c>
      <c r="AI33" s="189">
        <f t="shared" si="11"/>
        <v>121</v>
      </c>
      <c r="AJ33" s="49">
        <f t="shared" si="12"/>
        <v>5097</v>
      </c>
      <c r="AK33" s="75">
        <v>0</v>
      </c>
      <c r="AL33" s="49">
        <f t="shared" si="13"/>
        <v>10425</v>
      </c>
      <c r="AM33" s="75">
        <v>0</v>
      </c>
      <c r="AN33" s="49">
        <f t="shared" si="14"/>
        <v>1471</v>
      </c>
      <c r="AO33" s="75">
        <v>0</v>
      </c>
      <c r="AP33" s="49">
        <f t="shared" si="15"/>
        <v>20367</v>
      </c>
      <c r="AQ33" s="190">
        <v>0</v>
      </c>
      <c r="AR33" s="182">
        <f t="shared" si="16"/>
        <v>-4988</v>
      </c>
      <c r="AS33" s="183">
        <f t="shared" si="17"/>
        <v>47821</v>
      </c>
      <c r="AW33" s="222">
        <f t="shared" si="18"/>
        <v>839500</v>
      </c>
    </row>
    <row r="34" spans="1:49" ht="13.5" thickBot="1">
      <c r="A34" s="191">
        <v>14</v>
      </c>
      <c r="B34" s="192" t="s">
        <v>130</v>
      </c>
      <c r="C34" s="193">
        <v>29805</v>
      </c>
      <c r="D34" s="194" t="s">
        <v>130</v>
      </c>
      <c r="E34" s="193">
        <f>'EUI by End Use'!D34</f>
        <v>43</v>
      </c>
      <c r="F34" s="193">
        <f>'EUI by End Use'!F34</f>
        <v>537500</v>
      </c>
      <c r="G34" s="195">
        <f>'EUI by End Use'!G34</f>
        <v>12500</v>
      </c>
      <c r="H34" s="220">
        <v>54</v>
      </c>
      <c r="I34" s="121">
        <v>4622</v>
      </c>
      <c r="J34" s="121">
        <v>5810</v>
      </c>
      <c r="K34" s="121">
        <v>2769</v>
      </c>
      <c r="L34" s="121">
        <v>1104</v>
      </c>
      <c r="M34" s="121">
        <v>1271</v>
      </c>
      <c r="N34" s="121">
        <v>357</v>
      </c>
      <c r="O34" s="121">
        <v>486</v>
      </c>
      <c r="P34" s="121">
        <f t="shared" si="0"/>
        <v>13386</v>
      </c>
      <c r="Q34" s="123">
        <f t="shared" si="1"/>
        <v>29805</v>
      </c>
      <c r="R34" s="197">
        <f>'ECM Estimated Cost &amp; Savings'!C37</f>
        <v>2472</v>
      </c>
      <c r="S34" s="198">
        <f>'ECM Estimated Cost &amp; Savings'!D37</f>
        <v>309</v>
      </c>
      <c r="T34" s="199">
        <f>'ECM Estimated Cost &amp; Savings'!F37</f>
        <v>0</v>
      </c>
      <c r="U34" s="198">
        <f>'ECM Estimated Cost &amp; Savings'!G37</f>
        <v>0</v>
      </c>
      <c r="V34" s="199">
        <f>'ECM Estimated Cost &amp; Savings'!I37</f>
        <v>2150</v>
      </c>
      <c r="W34" s="198">
        <f>'ECM Estimated Cost &amp; Savings'!J37</f>
        <v>268</v>
      </c>
      <c r="X34" s="199">
        <f>'ECM Estimated Cost &amp; Savings'!L37</f>
        <v>1913</v>
      </c>
      <c r="Y34" s="200">
        <f>'ECM Estimated Cost &amp; Savings'!M37</f>
        <v>239</v>
      </c>
      <c r="Z34" s="197">
        <f t="shared" si="2"/>
        <v>2150</v>
      </c>
      <c r="AA34" s="198">
        <f t="shared" si="3"/>
        <v>309</v>
      </c>
      <c r="AB34" s="199">
        <f t="shared" si="4"/>
        <v>5810</v>
      </c>
      <c r="AC34" s="198">
        <f t="shared" si="5"/>
        <v>0</v>
      </c>
      <c r="AD34" s="199">
        <f t="shared" si="6"/>
        <v>3660</v>
      </c>
      <c r="AE34" s="198">
        <f t="shared" si="7"/>
        <v>268</v>
      </c>
      <c r="AF34" s="201">
        <f t="shared" si="8"/>
        <v>3660</v>
      </c>
      <c r="AG34" s="202">
        <f t="shared" si="9"/>
        <v>268</v>
      </c>
      <c r="AH34" s="199">
        <f t="shared" si="10"/>
        <v>856</v>
      </c>
      <c r="AI34" s="203">
        <f t="shared" si="11"/>
        <v>239</v>
      </c>
      <c r="AJ34" s="199">
        <f t="shared" si="12"/>
        <v>1104</v>
      </c>
      <c r="AK34" s="192">
        <v>0</v>
      </c>
      <c r="AL34" s="199">
        <f t="shared" si="13"/>
        <v>1271</v>
      </c>
      <c r="AM34" s="192">
        <v>0</v>
      </c>
      <c r="AN34" s="199">
        <f t="shared" si="14"/>
        <v>357</v>
      </c>
      <c r="AO34" s="192">
        <v>0</v>
      </c>
      <c r="AP34" s="199">
        <f t="shared" si="15"/>
        <v>486</v>
      </c>
      <c r="AQ34" s="204">
        <v>0</v>
      </c>
      <c r="AR34" s="197">
        <f t="shared" si="16"/>
        <v>13386</v>
      </c>
      <c r="AS34" s="221">
        <f t="shared" si="17"/>
        <v>23270</v>
      </c>
      <c r="AT34" s="49">
        <f>SUM(AS21:AS34)</f>
        <v>831254</v>
      </c>
      <c r="AU34" s="206">
        <f>AT34/SUM(Q21:Q34)</f>
        <v>0.82319166087340589</v>
      </c>
      <c r="AV34" s="34" t="s">
        <v>133</v>
      </c>
      <c r="AW34" s="222">
        <f t="shared" si="18"/>
        <v>537500</v>
      </c>
    </row>
    <row r="35" spans="1:49">
      <c r="C35" s="222">
        <f>SUM(C3:C34)</f>
        <v>3983742</v>
      </c>
      <c r="E35" s="222">
        <f>SUM(E3:E34)</f>
        <v>5471</v>
      </c>
      <c r="F35" s="222">
        <f>SUM(F3:F34)</f>
        <v>131566400</v>
      </c>
      <c r="I35" s="156">
        <f t="shared" ref="I35:Q35" si="19">SUM(I3:I34)</f>
        <v>581105</v>
      </c>
      <c r="J35" s="156">
        <f t="shared" si="19"/>
        <v>850783</v>
      </c>
      <c r="K35" s="156">
        <f t="shared" si="19"/>
        <v>794607</v>
      </c>
      <c r="L35" s="156">
        <f t="shared" si="19"/>
        <v>729011</v>
      </c>
      <c r="M35" s="156">
        <f t="shared" si="19"/>
        <v>96143</v>
      </c>
      <c r="N35" s="156">
        <f t="shared" si="19"/>
        <v>131642</v>
      </c>
      <c r="O35" s="156">
        <f t="shared" si="19"/>
        <v>158106</v>
      </c>
      <c r="P35" s="156">
        <f t="shared" si="19"/>
        <v>642345</v>
      </c>
      <c r="Q35" s="156">
        <f t="shared" si="19"/>
        <v>3983742</v>
      </c>
      <c r="AR35" s="156">
        <f>SUM(AR3:AR34)</f>
        <v>642345</v>
      </c>
      <c r="AS35" s="156">
        <f>SUM(AS3:AS34)</f>
        <v>3580208</v>
      </c>
      <c r="AT35" s="223">
        <f>AS35/Q35</f>
        <v>0.89870478560107558</v>
      </c>
      <c r="AV35" s="34" t="s">
        <v>161</v>
      </c>
    </row>
    <row r="37" spans="1:49">
      <c r="Q37" s="77"/>
    </row>
    <row r="38" spans="1:49">
      <c r="E38" s="34">
        <f>C11/E11</f>
        <v>567.61538461538464</v>
      </c>
      <c r="O38" s="77"/>
    </row>
    <row r="39" spans="1:49" ht="13.5" thickBot="1"/>
    <row r="40" spans="1:49" ht="54.75" customHeight="1">
      <c r="O40" s="439" t="s">
        <v>366</v>
      </c>
      <c r="P40" s="255">
        <v>1.2115148190639431</v>
      </c>
      <c r="R40" s="157" t="s">
        <v>137</v>
      </c>
      <c r="S40" s="158"/>
      <c r="T40" s="158" t="s">
        <v>64</v>
      </c>
      <c r="U40" s="158"/>
      <c r="V40" s="158" t="s">
        <v>138</v>
      </c>
      <c r="W40" s="158"/>
      <c r="X40" s="158" t="s">
        <v>139</v>
      </c>
      <c r="Y40" s="240"/>
      <c r="Z40" s="708" t="s">
        <v>137</v>
      </c>
      <c r="AA40" s="708"/>
      <c r="AB40" s="708"/>
      <c r="AC40" s="708" t="s">
        <v>64</v>
      </c>
      <c r="AD40" s="708"/>
      <c r="AE40" s="708"/>
      <c r="AF40" s="708" t="s">
        <v>138</v>
      </c>
      <c r="AG40" s="708"/>
      <c r="AH40" s="708"/>
      <c r="AI40" s="708" t="s">
        <v>139</v>
      </c>
      <c r="AJ40" s="708"/>
      <c r="AK40" s="708"/>
      <c r="AL40"/>
    </row>
    <row r="41" spans="1:49" ht="77.25" thickBot="1">
      <c r="R41" s="163" t="s">
        <v>158</v>
      </c>
      <c r="S41" s="164" t="s">
        <v>159</v>
      </c>
      <c r="T41" s="164" t="s">
        <v>158</v>
      </c>
      <c r="U41" s="164" t="s">
        <v>159</v>
      </c>
      <c r="V41" s="164" t="s">
        <v>158</v>
      </c>
      <c r="W41" s="164" t="s">
        <v>159</v>
      </c>
      <c r="X41" s="164" t="s">
        <v>158</v>
      </c>
      <c r="Y41" s="241" t="s">
        <v>159</v>
      </c>
      <c r="Z41" s="281" t="s">
        <v>128</v>
      </c>
      <c r="AA41" s="282" t="s">
        <v>127</v>
      </c>
      <c r="AB41" s="283" t="s">
        <v>159</v>
      </c>
      <c r="AC41" s="281" t="s">
        <v>128</v>
      </c>
      <c r="AD41" s="282" t="s">
        <v>127</v>
      </c>
      <c r="AE41" s="283" t="s">
        <v>159</v>
      </c>
      <c r="AF41" s="281" t="s">
        <v>128</v>
      </c>
      <c r="AG41" s="282" t="s">
        <v>127</v>
      </c>
      <c r="AH41" s="283" t="s">
        <v>159</v>
      </c>
      <c r="AI41" s="281" t="s">
        <v>128</v>
      </c>
      <c r="AJ41" s="282" t="s">
        <v>127</v>
      </c>
      <c r="AK41" s="284" t="s">
        <v>159</v>
      </c>
      <c r="AL41"/>
    </row>
    <row r="42" spans="1:49">
      <c r="Q42" s="239" t="s">
        <v>132</v>
      </c>
      <c r="R42" s="182">
        <v>2860</v>
      </c>
      <c r="S42" s="186">
        <v>304</v>
      </c>
      <c r="V42" s="49">
        <v>3833</v>
      </c>
      <c r="W42" s="186">
        <v>434</v>
      </c>
      <c r="X42" s="49">
        <v>530</v>
      </c>
      <c r="Y42" s="189">
        <v>47</v>
      </c>
      <c r="Z42" s="254">
        <f>VLOOKUP($R42,$R$3:$AW$34,32,0)/1000</f>
        <v>1496.5</v>
      </c>
      <c r="AA42" s="287">
        <f>R42/$Z42</f>
        <v>1.9111259605746742</v>
      </c>
      <c r="AB42" s="287">
        <f>S42/$Z42</f>
        <v>0.20314066154360175</v>
      </c>
      <c r="AC42" s="254">
        <f>VLOOKUP($T42,$T$3:$AW$34,30,0)/1000</f>
        <v>7500</v>
      </c>
      <c r="AD42" s="287">
        <f>T42/$AC42</f>
        <v>0</v>
      </c>
      <c r="AE42" s="287">
        <f>U42/$AC42</f>
        <v>0</v>
      </c>
      <c r="AF42" s="254">
        <f>VLOOKUP($V42,$V$3:$AW$34,28,0)/1000</f>
        <v>1277.5</v>
      </c>
      <c r="AG42" s="287">
        <f>V42/$AF42</f>
        <v>3.0003913894324854</v>
      </c>
      <c r="AH42" s="287">
        <f>W42/$AF42</f>
        <v>0.33972602739726027</v>
      </c>
      <c r="AI42" s="254">
        <f>VLOOKUP($X42,$X$3:$AW$34,26,0)/1000</f>
        <v>2336</v>
      </c>
      <c r="AJ42" s="287">
        <f>X42/$AI42</f>
        <v>0.22688356164383561</v>
      </c>
      <c r="AK42" s="287">
        <f>Y42/$AI42</f>
        <v>2.0119863013698631E-2</v>
      </c>
      <c r="AL42"/>
    </row>
    <row r="43" spans="1:49">
      <c r="Q43" s="239" t="s">
        <v>132</v>
      </c>
      <c r="R43" s="182">
        <v>3314</v>
      </c>
      <c r="S43" s="186">
        <v>332</v>
      </c>
      <c r="V43" s="49">
        <v>6000</v>
      </c>
      <c r="W43" s="186">
        <v>470</v>
      </c>
      <c r="X43" s="49">
        <v>588</v>
      </c>
      <c r="Y43" s="189">
        <v>65</v>
      </c>
      <c r="Z43" s="254">
        <f t="shared" ref="Z43:Z48" si="20">VLOOKUP($R43,$R$3:$AW$34,32,0)/1000</f>
        <v>1569.5</v>
      </c>
      <c r="AA43" s="287">
        <f t="shared" ref="AA43:AA48" si="21">R43/$Z43</f>
        <v>2.1115004778591908</v>
      </c>
      <c r="AB43" s="287">
        <f t="shared" ref="AB43:AB48" si="22">S43/$Z43</f>
        <v>0.21153233513857916</v>
      </c>
      <c r="AC43" s="1"/>
      <c r="AD43" s="1"/>
      <c r="AE43" s="1"/>
      <c r="AF43" s="254">
        <f t="shared" ref="AF43:AF48" si="23">VLOOKUP($V43,$V$3:$AW$34,28,0)/1000</f>
        <v>2060.1</v>
      </c>
      <c r="AG43" s="287">
        <f t="shared" ref="AG43:AG48" si="24">V43/$AF43</f>
        <v>2.9124799767001601</v>
      </c>
      <c r="AH43" s="287">
        <f t="shared" ref="AH43:AH48" si="25">W43/$AF43</f>
        <v>0.22814426484151257</v>
      </c>
      <c r="AI43" s="254">
        <f t="shared" ref="AI43:AI51" si="26">VLOOKUP($X43,$X$3:$AW$34,26,0)/1000</f>
        <v>3139</v>
      </c>
      <c r="AJ43" s="287">
        <f t="shared" ref="AJ43:AJ51" si="27">X43/$AI43</f>
        <v>0.18732080280344057</v>
      </c>
      <c r="AK43" s="287">
        <f t="shared" ref="AK43:AK51" si="28">Y43/$AI43</f>
        <v>2.0707231602421154E-2</v>
      </c>
      <c r="AL43"/>
    </row>
    <row r="44" spans="1:49">
      <c r="Q44" s="239" t="s">
        <v>132</v>
      </c>
      <c r="R44" s="182">
        <v>6292</v>
      </c>
      <c r="S44" s="186">
        <v>719</v>
      </c>
      <c r="V44" s="49">
        <v>6758</v>
      </c>
      <c r="W44" s="186">
        <v>773</v>
      </c>
      <c r="X44" s="49">
        <v>880</v>
      </c>
      <c r="Y44" s="189">
        <v>108</v>
      </c>
      <c r="Z44" s="254">
        <f t="shared" si="20"/>
        <v>784.8</v>
      </c>
      <c r="AA44" s="287">
        <f t="shared" si="21"/>
        <v>8.017329255861366</v>
      </c>
      <c r="AB44" s="287">
        <f t="shared" si="22"/>
        <v>0.91615698267074419</v>
      </c>
      <c r="AC44" s="1"/>
      <c r="AD44" s="1"/>
      <c r="AE44" s="1"/>
      <c r="AF44" s="254">
        <f t="shared" si="23"/>
        <v>784.8</v>
      </c>
      <c r="AG44" s="287">
        <f t="shared" si="24"/>
        <v>8.6111111111111125</v>
      </c>
      <c r="AH44" s="287">
        <f t="shared" si="25"/>
        <v>0.98496432212028551</v>
      </c>
      <c r="AI44" s="254">
        <f t="shared" si="26"/>
        <v>1715.5</v>
      </c>
      <c r="AJ44" s="287">
        <f t="shared" si="27"/>
        <v>0.5129699795977849</v>
      </c>
      <c r="AK44" s="287">
        <f t="shared" si="28"/>
        <v>6.295540658700087E-2</v>
      </c>
      <c r="AL44"/>
    </row>
    <row r="45" spans="1:49">
      <c r="Q45" s="239" t="s">
        <v>132</v>
      </c>
      <c r="R45" s="182">
        <v>9619</v>
      </c>
      <c r="S45" s="186">
        <v>1090</v>
      </c>
      <c r="V45" s="49">
        <v>7848</v>
      </c>
      <c r="W45" s="186">
        <v>786</v>
      </c>
      <c r="X45" s="49">
        <v>2032</v>
      </c>
      <c r="Y45" s="189">
        <v>204</v>
      </c>
      <c r="Z45" s="254">
        <f t="shared" si="20"/>
        <v>1277.5</v>
      </c>
      <c r="AA45" s="287">
        <f t="shared" si="21"/>
        <v>7.5295499021526417</v>
      </c>
      <c r="AB45" s="287">
        <f t="shared" si="22"/>
        <v>0.85322896281800387</v>
      </c>
      <c r="AC45" s="1"/>
      <c r="AD45" s="1"/>
      <c r="AE45" s="1"/>
      <c r="AF45" s="254">
        <f t="shared" si="23"/>
        <v>1569.5</v>
      </c>
      <c r="AG45" s="287">
        <f t="shared" si="24"/>
        <v>5.0003185727938835</v>
      </c>
      <c r="AH45" s="287">
        <f t="shared" si="25"/>
        <v>0.50079643198470847</v>
      </c>
      <c r="AI45" s="254">
        <f t="shared" si="26"/>
        <v>1569.5</v>
      </c>
      <c r="AJ45" s="287">
        <f t="shared" si="27"/>
        <v>1.2946798343421473</v>
      </c>
      <c r="AK45" s="287">
        <f t="shared" si="28"/>
        <v>0.12997769990442817</v>
      </c>
      <c r="AL45"/>
    </row>
    <row r="46" spans="1:49">
      <c r="Q46" s="239" t="s">
        <v>132</v>
      </c>
      <c r="R46" s="182">
        <v>13321</v>
      </c>
      <c r="S46" s="186">
        <v>1768</v>
      </c>
      <c r="V46" s="49">
        <v>8000</v>
      </c>
      <c r="W46" s="186">
        <v>1024</v>
      </c>
      <c r="X46" s="49">
        <v>2925</v>
      </c>
      <c r="Y46" s="189">
        <v>334</v>
      </c>
      <c r="Z46" s="254">
        <f t="shared" si="20"/>
        <v>1752</v>
      </c>
      <c r="AA46" s="287">
        <f t="shared" si="21"/>
        <v>7.6033105022831053</v>
      </c>
      <c r="AB46" s="287">
        <f t="shared" si="22"/>
        <v>1.0091324200913243</v>
      </c>
      <c r="AC46" s="1"/>
      <c r="AD46" s="1"/>
      <c r="AE46" s="1"/>
      <c r="AF46" s="254">
        <f t="shared" si="23"/>
        <v>1715.5</v>
      </c>
      <c r="AG46" s="287">
        <f t="shared" si="24"/>
        <v>4.6633634508889541</v>
      </c>
      <c r="AH46" s="287">
        <f t="shared" si="25"/>
        <v>0.59691052171378611</v>
      </c>
      <c r="AI46" s="254">
        <f t="shared" si="26"/>
        <v>784.8</v>
      </c>
      <c r="AJ46" s="287">
        <f t="shared" si="27"/>
        <v>3.7270642201834865</v>
      </c>
      <c r="AK46" s="287">
        <f t="shared" si="28"/>
        <v>0.42558613659531092</v>
      </c>
      <c r="AL46"/>
    </row>
    <row r="47" spans="1:49">
      <c r="Q47" s="239" t="s">
        <v>132</v>
      </c>
      <c r="R47" s="182">
        <v>18500</v>
      </c>
      <c r="S47" s="186">
        <v>2000</v>
      </c>
      <c r="V47" s="49">
        <v>12750</v>
      </c>
      <c r="W47" s="186">
        <v>1243</v>
      </c>
      <c r="X47" s="49">
        <v>3336</v>
      </c>
      <c r="Y47" s="189">
        <v>367</v>
      </c>
      <c r="Z47" s="254">
        <f t="shared" si="20"/>
        <v>13687.5</v>
      </c>
      <c r="AA47" s="287">
        <f t="shared" si="21"/>
        <v>1.3515981735159817</v>
      </c>
      <c r="AB47" s="287">
        <f t="shared" si="22"/>
        <v>0.14611872146118721</v>
      </c>
      <c r="AC47" s="1"/>
      <c r="AD47" s="1"/>
      <c r="AE47" s="1"/>
      <c r="AF47" s="254">
        <f t="shared" si="23"/>
        <v>4250</v>
      </c>
      <c r="AG47" s="287">
        <f t="shared" si="24"/>
        <v>3</v>
      </c>
      <c r="AH47" s="287">
        <f t="shared" si="25"/>
        <v>0.29247058823529409</v>
      </c>
      <c r="AI47" s="254">
        <f t="shared" si="26"/>
        <v>6205</v>
      </c>
      <c r="AJ47" s="287">
        <f t="shared" si="27"/>
        <v>0.53763094278807411</v>
      </c>
      <c r="AK47" s="287">
        <f t="shared" si="28"/>
        <v>5.9145850120870265E-2</v>
      </c>
      <c r="AL47"/>
    </row>
    <row r="48" spans="1:49" ht="13.5" thickBot="1">
      <c r="Q48" s="239" t="s">
        <v>132</v>
      </c>
      <c r="R48" s="197">
        <v>43271</v>
      </c>
      <c r="S48" s="198">
        <v>4763</v>
      </c>
      <c r="V48" s="49">
        <v>23940</v>
      </c>
      <c r="W48" s="186">
        <v>2635</v>
      </c>
      <c r="X48" s="49">
        <v>4017</v>
      </c>
      <c r="Y48" s="189">
        <v>400</v>
      </c>
      <c r="Z48" s="254">
        <f t="shared" si="20"/>
        <v>6205</v>
      </c>
      <c r="AA48" s="287">
        <f t="shared" si="21"/>
        <v>6.9735697018533438</v>
      </c>
      <c r="AB48" s="287">
        <f t="shared" si="22"/>
        <v>0.7676067687348912</v>
      </c>
      <c r="AC48" s="1"/>
      <c r="AD48" s="1"/>
      <c r="AE48" s="1"/>
      <c r="AF48" s="254">
        <f t="shared" si="23"/>
        <v>6205</v>
      </c>
      <c r="AG48" s="287">
        <f t="shared" si="24"/>
        <v>3.8581788879935535</v>
      </c>
      <c r="AH48" s="287">
        <f t="shared" si="25"/>
        <v>0.42465753424657532</v>
      </c>
      <c r="AI48" s="254">
        <f t="shared" si="26"/>
        <v>13687.5</v>
      </c>
      <c r="AJ48" s="287">
        <f t="shared" si="27"/>
        <v>0.29347945205479453</v>
      </c>
      <c r="AK48" s="287">
        <f t="shared" si="28"/>
        <v>2.9223744292237442E-2</v>
      </c>
      <c r="AL48"/>
    </row>
    <row r="49" spans="17:38" ht="13.5" thickBot="1">
      <c r="Q49" s="239" t="s">
        <v>132</v>
      </c>
      <c r="V49" s="199">
        <v>25940</v>
      </c>
      <c r="W49" s="198">
        <v>2505</v>
      </c>
      <c r="X49" s="49">
        <v>4060</v>
      </c>
      <c r="Y49" s="189">
        <v>382</v>
      </c>
      <c r="Z49" s="1"/>
      <c r="AA49" s="1"/>
      <c r="AB49" s="1"/>
      <c r="AC49" s="1"/>
      <c r="AD49" s="1"/>
      <c r="AE49" s="1"/>
      <c r="AF49" s="254"/>
      <c r="AG49" s="287"/>
      <c r="AH49" s="287"/>
      <c r="AI49" s="254">
        <f t="shared" si="26"/>
        <v>18031</v>
      </c>
      <c r="AJ49" s="287">
        <f t="shared" si="27"/>
        <v>0.22516776662414731</v>
      </c>
      <c r="AK49" s="287">
        <f t="shared" si="28"/>
        <v>2.11857356774444E-2</v>
      </c>
      <c r="AL49"/>
    </row>
    <row r="50" spans="17:38">
      <c r="Q50" s="239" t="s">
        <v>132</v>
      </c>
      <c r="X50" s="49">
        <v>4780</v>
      </c>
      <c r="Y50" s="189">
        <v>495</v>
      </c>
      <c r="Z50" s="1"/>
      <c r="AA50" s="1"/>
      <c r="AB50" s="1"/>
      <c r="AC50" s="1"/>
      <c r="AD50" s="1"/>
      <c r="AE50" s="1"/>
      <c r="AF50" s="254"/>
      <c r="AG50" s="287"/>
      <c r="AH50" s="287"/>
      <c r="AI50" s="254">
        <f t="shared" si="26"/>
        <v>6000</v>
      </c>
      <c r="AJ50" s="287">
        <f t="shared" si="27"/>
        <v>0.79666666666666663</v>
      </c>
      <c r="AK50" s="287">
        <f t="shared" si="28"/>
        <v>8.2500000000000004E-2</v>
      </c>
      <c r="AL50"/>
    </row>
    <row r="51" spans="17:38" ht="13.5" thickBot="1">
      <c r="Q51" s="239" t="s">
        <v>132</v>
      </c>
      <c r="X51" s="199">
        <v>9600</v>
      </c>
      <c r="Y51" s="203">
        <v>722</v>
      </c>
      <c r="Z51" s="1"/>
      <c r="AA51" s="1"/>
      <c r="AB51" s="1"/>
      <c r="AC51" s="1"/>
      <c r="AD51" s="1"/>
      <c r="AE51" s="1"/>
      <c r="AF51" s="254"/>
      <c r="AG51" s="287"/>
      <c r="AH51" s="287"/>
      <c r="AI51" s="254">
        <f t="shared" si="26"/>
        <v>8030</v>
      </c>
      <c r="AJ51" s="287">
        <f t="shared" si="27"/>
        <v>1.195516811955168</v>
      </c>
      <c r="AK51" s="287">
        <f t="shared" si="28"/>
        <v>8.9912826899128273E-2</v>
      </c>
      <c r="AL51"/>
    </row>
    <row r="52" spans="17:38" ht="13.5" thickBot="1">
      <c r="Q52" s="239"/>
      <c r="X52" s="199"/>
      <c r="Y52" s="203"/>
      <c r="Z52" s="313"/>
      <c r="AA52" s="313"/>
      <c r="AB52" s="313"/>
      <c r="AC52" s="22"/>
      <c r="AD52" s="22"/>
      <c r="AE52" s="22"/>
      <c r="AF52" s="314"/>
      <c r="AG52" s="315"/>
      <c r="AH52" s="315"/>
      <c r="AI52" s="314"/>
      <c r="AJ52" s="315"/>
      <c r="AK52" s="315"/>
      <c r="AL52"/>
    </row>
    <row r="53" spans="17:38" ht="13.5" thickBot="1">
      <c r="Q53" s="239" t="s">
        <v>240</v>
      </c>
      <c r="R53" s="247">
        <f>MEDIAN(R$42:R$48)</f>
        <v>9619</v>
      </c>
      <c r="S53" s="248">
        <f>MEDIAN(S42:S48)</f>
        <v>1090</v>
      </c>
      <c r="V53" s="247">
        <f>MEDIAN(V$42:V$49)</f>
        <v>7924</v>
      </c>
      <c r="W53" s="248">
        <f>MEDIAN(W$42:W$49)</f>
        <v>905</v>
      </c>
      <c r="X53" s="247">
        <f>MEDIAN(X$42:X$51)</f>
        <v>3130.5</v>
      </c>
      <c r="Y53" s="248">
        <f>MEDIAN(Y$42:Y$51)</f>
        <v>350.5</v>
      </c>
      <c r="Z53" s="285">
        <f>MEDIAN(Z$42:Z$48)</f>
        <v>1569.5</v>
      </c>
      <c r="AA53" s="286">
        <f>MEDIAN(AA$42:AA$48)</f>
        <v>6.9735697018533438</v>
      </c>
      <c r="AB53" s="288">
        <f>MEDIAN(AB$42:AB$48)</f>
        <v>0.7676067687348912</v>
      </c>
      <c r="AC53"/>
      <c r="AD53"/>
      <c r="AE53"/>
      <c r="AF53" s="285">
        <f>MEDIAN(AF42:AF49)</f>
        <v>1715.5</v>
      </c>
      <c r="AG53" s="286">
        <f>MEDIAN(AG42:AG49)</f>
        <v>3.8581788879935535</v>
      </c>
      <c r="AH53" s="288">
        <f>MEDIAN(AH42:AH49)</f>
        <v>0.42465753424657532</v>
      </c>
      <c r="AI53" s="285">
        <f>MEDIAN(AI42:AI51)</f>
        <v>4569.5</v>
      </c>
      <c r="AJ53" s="286">
        <f>MEDIAN(AJ42:AJ51)</f>
        <v>0.5253004611929295</v>
      </c>
      <c r="AK53" s="288">
        <f>MEDIAN(AK42:AK51)</f>
        <v>6.1050628353935571E-2</v>
      </c>
      <c r="AL53"/>
    </row>
    <row r="54" spans="17:38" ht="13.5" thickBot="1">
      <c r="Z54" s="312">
        <f>SUM(Z42:Z48)</f>
        <v>26772.799999999999</v>
      </c>
      <c r="AA54" s="438">
        <f>Z54/Z55</f>
        <v>0.24472529099793966</v>
      </c>
      <c r="AB54"/>
      <c r="AC54" s="312">
        <f>SUM(AC42:AC51)</f>
        <v>7500</v>
      </c>
      <c r="AD54" s="438">
        <f>AC54/AC55</f>
        <v>6.8556134677155448E-2</v>
      </c>
      <c r="AE54"/>
      <c r="AF54" s="312">
        <f>SUM(AF42:AF48)</f>
        <v>17862.400000000001</v>
      </c>
      <c r="AG54" s="438">
        <f>AF54/AF55</f>
        <v>0.16327694667429624</v>
      </c>
      <c r="AH54"/>
      <c r="AI54" s="312">
        <f>SUM(AI42:AI51)</f>
        <v>61498.3</v>
      </c>
      <c r="AJ54" s="438">
        <f>AI54/AI55</f>
        <v>0.56214476496214794</v>
      </c>
    </row>
    <row r="55" spans="17:38" ht="13.5" thickBot="1">
      <c r="Z55" s="426">
        <f>SUM(F3:F20)/1000</f>
        <v>109399.4</v>
      </c>
      <c r="AA55"/>
      <c r="AB55"/>
      <c r="AC55" s="426">
        <f>Z55</f>
        <v>109399.4</v>
      </c>
      <c r="AD55"/>
      <c r="AE55"/>
      <c r="AF55" s="426">
        <f>AC55</f>
        <v>109399.4</v>
      </c>
      <c r="AG55"/>
      <c r="AH55"/>
      <c r="AI55" s="426">
        <f>AF55</f>
        <v>109399.4</v>
      </c>
    </row>
    <row r="56" spans="17:38" ht="66" customHeight="1">
      <c r="R56" s="157" t="s">
        <v>137</v>
      </c>
      <c r="S56" s="158"/>
      <c r="T56" s="158" t="s">
        <v>64</v>
      </c>
      <c r="U56" s="158"/>
      <c r="V56" s="158" t="s">
        <v>138</v>
      </c>
      <c r="W56" s="158"/>
      <c r="X56" s="158" t="s">
        <v>139</v>
      </c>
      <c r="Y56" s="159"/>
      <c r="Z56" s="704" t="s">
        <v>137</v>
      </c>
      <c r="AA56" s="705"/>
      <c r="AB56" s="718"/>
      <c r="AC56" s="704" t="s">
        <v>64</v>
      </c>
      <c r="AD56" s="705"/>
      <c r="AE56" s="706"/>
      <c r="AF56" s="707" t="s">
        <v>138</v>
      </c>
      <c r="AG56" s="705"/>
      <c r="AH56" s="706"/>
      <c r="AI56" s="704" t="s">
        <v>139</v>
      </c>
      <c r="AJ56" s="705"/>
      <c r="AK56" s="706"/>
    </row>
    <row r="57" spans="17:38" ht="77.25" thickBot="1">
      <c r="R57" s="163" t="s">
        <v>158</v>
      </c>
      <c r="S57" s="164" t="s">
        <v>159</v>
      </c>
      <c r="T57" s="164" t="s">
        <v>158</v>
      </c>
      <c r="U57" s="164" t="s">
        <v>159</v>
      </c>
      <c r="V57" s="164" t="s">
        <v>158</v>
      </c>
      <c r="W57" s="164" t="s">
        <v>159</v>
      </c>
      <c r="X57" s="164" t="s">
        <v>158</v>
      </c>
      <c r="Y57" s="165" t="s">
        <v>159</v>
      </c>
      <c r="Z57" s="299" t="s">
        <v>128</v>
      </c>
      <c r="AA57" s="299" t="s">
        <v>127</v>
      </c>
      <c r="AB57" s="301" t="s">
        <v>159</v>
      </c>
      <c r="AC57" s="307" t="s">
        <v>128</v>
      </c>
      <c r="AD57" s="299" t="s">
        <v>127</v>
      </c>
      <c r="AE57" s="308" t="s">
        <v>159</v>
      </c>
      <c r="AF57" s="305" t="s">
        <v>128</v>
      </c>
      <c r="AG57" s="299" t="s">
        <v>127</v>
      </c>
      <c r="AH57" s="300" t="s">
        <v>159</v>
      </c>
      <c r="AI57" s="299" t="s">
        <v>128</v>
      </c>
      <c r="AJ57" s="299" t="s">
        <v>127</v>
      </c>
      <c r="AK57" s="300" t="s">
        <v>159</v>
      </c>
    </row>
    <row r="58" spans="17:38">
      <c r="Q58" s="239" t="s">
        <v>133</v>
      </c>
      <c r="R58" s="174">
        <v>6300</v>
      </c>
      <c r="S58" s="175">
        <v>610</v>
      </c>
      <c r="T58" s="214">
        <v>5000</v>
      </c>
      <c r="U58" s="213">
        <v>511</v>
      </c>
      <c r="V58" s="45">
        <v>5000</v>
      </c>
      <c r="W58" s="175">
        <v>490</v>
      </c>
      <c r="X58" s="49">
        <v>906</v>
      </c>
      <c r="Y58" s="189">
        <v>73</v>
      </c>
      <c r="Z58" s="296">
        <f>VLOOKUP($R58,$R$3:$AW$34,32,0)/1000</f>
        <v>1700</v>
      </c>
      <c r="AA58" s="297">
        <f>R58/$Z58</f>
        <v>3.7058823529411766</v>
      </c>
      <c r="AB58" s="302">
        <f>S58/$Z58</f>
        <v>0.35882352941176471</v>
      </c>
      <c r="AC58" s="296">
        <f>VLOOKUP($T58,$T$3:$AW$34,30,0)/1000</f>
        <v>750.3</v>
      </c>
      <c r="AD58" s="297">
        <f>T58/$AC58</f>
        <v>6.6640010662401714</v>
      </c>
      <c r="AE58" s="298">
        <f>U58/$AC58</f>
        <v>0.68106090896974547</v>
      </c>
      <c r="AF58" s="306">
        <f t="shared" ref="AF58:AF63" si="29">VLOOKUP($V58,$V$3:$AW$34,28,0)/1000</f>
        <v>1700</v>
      </c>
      <c r="AG58" s="297">
        <f t="shared" ref="AG58:AH63" si="30">V58/$AF58</f>
        <v>2.9411764705882355</v>
      </c>
      <c r="AH58" s="298">
        <f t="shared" si="30"/>
        <v>0.28823529411764703</v>
      </c>
      <c r="AI58" s="296">
        <f>VLOOKUP($X58,$X$3:$AW$34,26,0)/1000</f>
        <v>1934.5</v>
      </c>
      <c r="AJ58" s="297">
        <f>X58/$AI58</f>
        <v>0.46833807185319204</v>
      </c>
      <c r="AK58" s="298">
        <f>Y58/$AI58</f>
        <v>3.7735849056603772E-2</v>
      </c>
    </row>
    <row r="59" spans="17:38" ht="13.5" thickBot="1">
      <c r="Q59" s="239" t="s">
        <v>133</v>
      </c>
      <c r="R59" s="182">
        <v>2472</v>
      </c>
      <c r="S59" s="186">
        <v>309</v>
      </c>
      <c r="T59" s="242">
        <v>6562</v>
      </c>
      <c r="U59" s="243">
        <v>647</v>
      </c>
      <c r="V59" s="49">
        <v>2150</v>
      </c>
      <c r="W59" s="186">
        <v>268</v>
      </c>
      <c r="X59" s="49">
        <v>1086</v>
      </c>
      <c r="Y59" s="189">
        <v>121</v>
      </c>
      <c r="Z59" s="292">
        <f t="shared" ref="Z59:Z69" si="31">VLOOKUP($R59,$R$3:$AW$34,32,0)/1000</f>
        <v>537.5</v>
      </c>
      <c r="AA59" s="287">
        <f t="shared" ref="AA59:AA69" si="32">R59/$Z59</f>
        <v>4.5990697674418604</v>
      </c>
      <c r="AB59" s="303">
        <f t="shared" ref="AB59:AB69" si="33">S59/$Z59</f>
        <v>0.57488372093023254</v>
      </c>
      <c r="AC59" s="292">
        <f>VLOOKUP($T59,$T$3:$AW$34,30,0)/1000</f>
        <v>1781.9</v>
      </c>
      <c r="AD59" s="287">
        <f>T59/$AC59</f>
        <v>3.6825860037039115</v>
      </c>
      <c r="AE59" s="293">
        <f>U59/$AC59</f>
        <v>0.36309557214209548</v>
      </c>
      <c r="AF59" s="290">
        <f t="shared" si="29"/>
        <v>537.5</v>
      </c>
      <c r="AG59" s="287">
        <f t="shared" si="30"/>
        <v>4</v>
      </c>
      <c r="AH59" s="293">
        <f t="shared" si="30"/>
        <v>0.49860465116279068</v>
      </c>
      <c r="AI59" s="292">
        <f t="shared" ref="AI59:AI67" si="34">VLOOKUP($X59,$X$3:$AW$34,26,0)/1000</f>
        <v>839.5</v>
      </c>
      <c r="AJ59" s="287">
        <f t="shared" ref="AJ59:AJ67" si="35">X59/$AI59</f>
        <v>1.293627159023228</v>
      </c>
      <c r="AK59" s="293">
        <f t="shared" ref="AK59:AK67" si="36">Y59/$AI59</f>
        <v>0.14413341274568195</v>
      </c>
    </row>
    <row r="60" spans="17:38" ht="13.5" thickBot="1">
      <c r="Q60" s="239" t="s">
        <v>133</v>
      </c>
      <c r="R60" s="182">
        <v>3625</v>
      </c>
      <c r="S60" s="217">
        <v>357</v>
      </c>
      <c r="T60" s="250">
        <f>MEDIAN(T58:T59)</f>
        <v>5781</v>
      </c>
      <c r="U60" s="251">
        <f>MEDIAN(U58:U59)</f>
        <v>579</v>
      </c>
      <c r="V60" s="249">
        <v>5040</v>
      </c>
      <c r="W60" s="186">
        <v>386</v>
      </c>
      <c r="X60" s="49">
        <v>1229</v>
      </c>
      <c r="Y60" s="189">
        <v>148</v>
      </c>
      <c r="Z60" s="292">
        <f t="shared" si="31"/>
        <v>1781.9</v>
      </c>
      <c r="AA60" s="287">
        <f t="shared" si="32"/>
        <v>2.0343453616925751</v>
      </c>
      <c r="AB60" s="303">
        <f t="shared" si="33"/>
        <v>0.20034794320668947</v>
      </c>
      <c r="AC60" s="234"/>
      <c r="AD60" s="46"/>
      <c r="AE60" s="57"/>
      <c r="AF60" s="290">
        <f t="shared" si="29"/>
        <v>1260</v>
      </c>
      <c r="AG60" s="287">
        <f t="shared" si="30"/>
        <v>4</v>
      </c>
      <c r="AH60" s="293">
        <f t="shared" si="30"/>
        <v>0.30634920634920637</v>
      </c>
      <c r="AI60" s="292">
        <f t="shared" si="34"/>
        <v>1752</v>
      </c>
      <c r="AJ60" s="287">
        <f t="shared" si="35"/>
        <v>0.70148401826484019</v>
      </c>
      <c r="AK60" s="293">
        <f t="shared" si="36"/>
        <v>8.4474885844748854E-2</v>
      </c>
    </row>
    <row r="61" spans="17:38">
      <c r="Q61" s="239" t="s">
        <v>133</v>
      </c>
      <c r="R61" s="182">
        <v>6405</v>
      </c>
      <c r="S61" s="186">
        <v>816</v>
      </c>
      <c r="V61" s="214">
        <v>5826</v>
      </c>
      <c r="W61" s="213">
        <v>575</v>
      </c>
      <c r="X61" s="49">
        <v>1913</v>
      </c>
      <c r="Y61" s="189">
        <v>239</v>
      </c>
      <c r="Z61" s="292">
        <f t="shared" si="31"/>
        <v>1095</v>
      </c>
      <c r="AA61" s="287">
        <f t="shared" si="32"/>
        <v>5.8493150684931505</v>
      </c>
      <c r="AB61" s="303">
        <f t="shared" si="33"/>
        <v>0.74520547945205484</v>
      </c>
      <c r="AC61" s="292"/>
      <c r="AD61" s="287"/>
      <c r="AE61" s="293"/>
      <c r="AF61" s="290">
        <f t="shared" si="29"/>
        <v>1781.9</v>
      </c>
      <c r="AG61" s="287">
        <f t="shared" si="30"/>
        <v>3.2695437454402603</v>
      </c>
      <c r="AH61" s="293">
        <f t="shared" si="30"/>
        <v>0.32268926426847744</v>
      </c>
      <c r="AI61" s="292">
        <f t="shared" si="34"/>
        <v>537.5</v>
      </c>
      <c r="AJ61" s="287">
        <f t="shared" si="35"/>
        <v>3.5590697674418603</v>
      </c>
      <c r="AK61" s="293">
        <f t="shared" si="36"/>
        <v>0.44465116279069766</v>
      </c>
    </row>
    <row r="62" spans="17:38">
      <c r="Q62" s="239" t="s">
        <v>133</v>
      </c>
      <c r="R62" s="182">
        <v>6481</v>
      </c>
      <c r="S62" s="186">
        <v>649</v>
      </c>
      <c r="V62" s="49">
        <v>6752</v>
      </c>
      <c r="W62" s="186">
        <v>676</v>
      </c>
      <c r="X62" s="49">
        <v>2480</v>
      </c>
      <c r="Y62" s="189">
        <v>198</v>
      </c>
      <c r="Z62" s="292">
        <f t="shared" si="31"/>
        <v>1300</v>
      </c>
      <c r="AA62" s="287">
        <f t="shared" si="32"/>
        <v>4.9853846153846151</v>
      </c>
      <c r="AB62" s="303">
        <f t="shared" si="33"/>
        <v>0.49923076923076926</v>
      </c>
      <c r="AC62" s="292"/>
      <c r="AD62" s="287"/>
      <c r="AE62" s="293"/>
      <c r="AF62" s="290">
        <f t="shared" si="29"/>
        <v>1300</v>
      </c>
      <c r="AG62" s="287">
        <f t="shared" si="30"/>
        <v>5.1938461538461542</v>
      </c>
      <c r="AH62" s="293">
        <f t="shared" si="30"/>
        <v>0.52</v>
      </c>
      <c r="AI62" s="292">
        <f t="shared" si="34"/>
        <v>2847</v>
      </c>
      <c r="AJ62" s="287">
        <f t="shared" si="35"/>
        <v>0.87109237794169303</v>
      </c>
      <c r="AK62" s="293">
        <f t="shared" si="36"/>
        <v>6.9546891464699681E-2</v>
      </c>
    </row>
    <row r="63" spans="17:38" ht="13.5" thickBot="1">
      <c r="Q63" s="239" t="s">
        <v>133</v>
      </c>
      <c r="R63" s="182">
        <v>6559</v>
      </c>
      <c r="S63" s="186">
        <v>662</v>
      </c>
      <c r="V63" s="199">
        <v>11972</v>
      </c>
      <c r="W63" s="198">
        <v>1265</v>
      </c>
      <c r="X63" s="214">
        <v>4860</v>
      </c>
      <c r="Y63" s="217">
        <v>486</v>
      </c>
      <c r="Z63" s="292">
        <f t="shared" si="31"/>
        <v>1368.8</v>
      </c>
      <c r="AA63" s="287">
        <f t="shared" si="32"/>
        <v>4.7917884278199887</v>
      </c>
      <c r="AB63" s="303">
        <f t="shared" si="33"/>
        <v>0.48363530099357105</v>
      </c>
      <c r="AC63" s="292"/>
      <c r="AD63" s="287"/>
      <c r="AE63" s="293"/>
      <c r="AF63" s="290">
        <f t="shared" si="29"/>
        <v>2993</v>
      </c>
      <c r="AG63" s="287">
        <f t="shared" si="30"/>
        <v>4</v>
      </c>
      <c r="AH63" s="293">
        <f t="shared" si="30"/>
        <v>0.42265285666555297</v>
      </c>
      <c r="AI63" s="292">
        <f t="shared" si="34"/>
        <v>750.3</v>
      </c>
      <c r="AJ63" s="287">
        <f t="shared" si="35"/>
        <v>6.4774090363854464</v>
      </c>
      <c r="AK63" s="293">
        <f t="shared" si="36"/>
        <v>0.64774090363854464</v>
      </c>
    </row>
    <row r="64" spans="17:38" ht="13.5" thickBot="1">
      <c r="Q64" s="239" t="s">
        <v>133</v>
      </c>
      <c r="R64" s="182">
        <v>7000</v>
      </c>
      <c r="S64" s="186">
        <v>540</v>
      </c>
      <c r="V64" s="252">
        <f>MEDIAN(V58:V63)</f>
        <v>5433</v>
      </c>
      <c r="W64" s="251">
        <f>MEDIAN(W58:W63)</f>
        <v>532.5</v>
      </c>
      <c r="X64" s="249">
        <v>5059</v>
      </c>
      <c r="Y64" s="189">
        <v>645</v>
      </c>
      <c r="Z64" s="292">
        <f t="shared" si="31"/>
        <v>1260</v>
      </c>
      <c r="AA64" s="287">
        <f t="shared" si="32"/>
        <v>5.5555555555555554</v>
      </c>
      <c r="AB64" s="303">
        <f t="shared" si="33"/>
        <v>0.42857142857142855</v>
      </c>
      <c r="AC64" s="292"/>
      <c r="AD64" s="287"/>
      <c r="AE64" s="293"/>
      <c r="AF64" s="46"/>
      <c r="AG64" s="46"/>
      <c r="AH64" s="57"/>
      <c r="AI64" s="292">
        <f t="shared" si="34"/>
        <v>1095</v>
      </c>
      <c r="AJ64" s="287">
        <f t="shared" si="35"/>
        <v>4.6200913242009136</v>
      </c>
      <c r="AK64" s="293">
        <f t="shared" si="36"/>
        <v>0.58904109589041098</v>
      </c>
    </row>
    <row r="65" spans="6:37">
      <c r="Q65" s="239" t="s">
        <v>133</v>
      </c>
      <c r="R65" s="182">
        <v>7183</v>
      </c>
      <c r="S65" s="186">
        <v>800</v>
      </c>
      <c r="X65" s="49">
        <v>5645</v>
      </c>
      <c r="Y65" s="189">
        <v>662</v>
      </c>
      <c r="Z65" s="292">
        <f t="shared" si="31"/>
        <v>839.5</v>
      </c>
      <c r="AA65" s="287">
        <f t="shared" si="32"/>
        <v>8.5562835020845736</v>
      </c>
      <c r="AB65" s="303">
        <f t="shared" si="33"/>
        <v>0.9529481834425253</v>
      </c>
      <c r="AC65" s="292"/>
      <c r="AD65" s="287"/>
      <c r="AE65" s="293"/>
      <c r="AF65" s="290"/>
      <c r="AG65" s="287"/>
      <c r="AH65" s="293"/>
      <c r="AI65" s="292">
        <f t="shared" si="34"/>
        <v>2007.5</v>
      </c>
      <c r="AJ65" s="287">
        <f t="shared" si="35"/>
        <v>2.8119551681195518</v>
      </c>
      <c r="AK65" s="293">
        <f t="shared" si="36"/>
        <v>0.32976338729763388</v>
      </c>
    </row>
    <row r="66" spans="6:37">
      <c r="Q66" s="239" t="s">
        <v>133</v>
      </c>
      <c r="R66" s="182">
        <v>7770</v>
      </c>
      <c r="S66" s="186">
        <v>911</v>
      </c>
      <c r="X66" s="49">
        <v>6202</v>
      </c>
      <c r="Y66" s="189">
        <v>621</v>
      </c>
      <c r="Z66" s="292">
        <f t="shared" si="31"/>
        <v>2007.5</v>
      </c>
      <c r="AA66" s="287">
        <f t="shared" si="32"/>
        <v>3.8704856787048567</v>
      </c>
      <c r="AB66" s="303">
        <f t="shared" si="33"/>
        <v>0.45379825653798256</v>
      </c>
      <c r="AC66" s="292"/>
      <c r="AD66" s="287"/>
      <c r="AE66" s="293"/>
      <c r="AF66" s="290"/>
      <c r="AG66" s="287"/>
      <c r="AH66" s="293"/>
      <c r="AI66" s="292">
        <f t="shared" si="34"/>
        <v>1300</v>
      </c>
      <c r="AJ66" s="287">
        <f t="shared" si="35"/>
        <v>4.7707692307692309</v>
      </c>
      <c r="AK66" s="293">
        <f t="shared" si="36"/>
        <v>0.47769230769230769</v>
      </c>
    </row>
    <row r="67" spans="6:37" ht="13.5" thickBot="1">
      <c r="Q67" s="239" t="s">
        <v>133</v>
      </c>
      <c r="R67" s="182">
        <v>10360</v>
      </c>
      <c r="S67" s="186">
        <v>800</v>
      </c>
      <c r="X67" s="199">
        <v>8269</v>
      </c>
      <c r="Y67" s="203">
        <v>874</v>
      </c>
      <c r="Z67" s="292">
        <f t="shared" si="31"/>
        <v>2847</v>
      </c>
      <c r="AA67" s="287">
        <f t="shared" si="32"/>
        <v>3.6389181594661046</v>
      </c>
      <c r="AB67" s="303">
        <f t="shared" si="33"/>
        <v>0.28099754127151388</v>
      </c>
      <c r="AC67" s="292"/>
      <c r="AD67" s="287"/>
      <c r="AE67" s="293"/>
      <c r="AF67" s="290"/>
      <c r="AG67" s="287"/>
      <c r="AH67" s="293"/>
      <c r="AI67" s="292">
        <f t="shared" si="34"/>
        <v>2993</v>
      </c>
      <c r="AJ67" s="287">
        <f t="shared" si="35"/>
        <v>2.7627798195790176</v>
      </c>
      <c r="AK67" s="293">
        <f t="shared" si="36"/>
        <v>0.29201470096892751</v>
      </c>
    </row>
    <row r="68" spans="6:37" ht="13.5" thickBot="1">
      <c r="Q68" s="239" t="s">
        <v>133</v>
      </c>
      <c r="R68" s="182">
        <v>13705</v>
      </c>
      <c r="S68" s="186">
        <v>1531</v>
      </c>
      <c r="X68" s="252">
        <f>AVERAGE(X58:X67)</f>
        <v>3764.9</v>
      </c>
      <c r="Y68" s="289">
        <f>AVERAGE(Y58:Y67)</f>
        <v>406.7</v>
      </c>
      <c r="Z68" s="292">
        <f t="shared" si="31"/>
        <v>1752</v>
      </c>
      <c r="AA68" s="287">
        <f t="shared" si="32"/>
        <v>7.8224885844748862</v>
      </c>
      <c r="AB68" s="303">
        <f t="shared" si="33"/>
        <v>0.87385844748858443</v>
      </c>
      <c r="AC68" s="292"/>
      <c r="AD68" s="287"/>
      <c r="AE68" s="293"/>
      <c r="AF68" s="290"/>
      <c r="AG68" s="287"/>
      <c r="AH68" s="293"/>
      <c r="AI68" s="234"/>
      <c r="AJ68" s="46"/>
      <c r="AK68" s="57"/>
    </row>
    <row r="69" spans="6:37" ht="13.5" thickBot="1">
      <c r="Q69" s="239" t="s">
        <v>133</v>
      </c>
      <c r="R69" s="197">
        <v>14729</v>
      </c>
      <c r="S69" s="198">
        <v>1193</v>
      </c>
      <c r="Z69" s="292">
        <f t="shared" si="31"/>
        <v>1934.5</v>
      </c>
      <c r="AA69" s="287">
        <f t="shared" si="32"/>
        <v>7.6138537089687262</v>
      </c>
      <c r="AB69" s="303">
        <f t="shared" si="33"/>
        <v>0.61669682088394939</v>
      </c>
      <c r="AC69" s="292"/>
      <c r="AD69" s="287"/>
      <c r="AE69" s="293"/>
      <c r="AF69" s="290"/>
      <c r="AG69" s="287"/>
      <c r="AH69" s="293"/>
      <c r="AI69" s="292"/>
      <c r="AJ69" s="287"/>
      <c r="AK69" s="293"/>
    </row>
    <row r="70" spans="6:37" ht="13.5" thickBot="1">
      <c r="Q70" s="239"/>
      <c r="R70" s="197"/>
      <c r="S70" s="198"/>
      <c r="Z70" s="316"/>
      <c r="AA70" s="315"/>
      <c r="AB70" s="317"/>
      <c r="AC70" s="316"/>
      <c r="AD70" s="315"/>
      <c r="AE70" s="318"/>
      <c r="AF70" s="319"/>
      <c r="AG70" s="315"/>
      <c r="AH70" s="318"/>
      <c r="AI70" s="316"/>
      <c r="AJ70" s="315"/>
      <c r="AK70" s="318"/>
    </row>
    <row r="71" spans="6:37" ht="12.75" customHeight="1" thickBot="1">
      <c r="Q71" s="239" t="s">
        <v>240</v>
      </c>
      <c r="R71" s="245">
        <f>MEDIAN(R58:R69)</f>
        <v>6779.5</v>
      </c>
      <c r="S71" s="246">
        <f>MEDIAN(S58:S69)</f>
        <v>731</v>
      </c>
      <c r="Z71" s="294">
        <f>MEDIAN(Z58:Z69)</f>
        <v>1534.4</v>
      </c>
      <c r="AA71" s="286">
        <f>MEDIAN(AA58:AA69)</f>
        <v>4.8885865216023019</v>
      </c>
      <c r="AB71" s="304">
        <f>MEDIAN(AB58:AB69)</f>
        <v>0.49143303511217018</v>
      </c>
      <c r="AC71" s="294">
        <f>MEDIAN(AC58:AC59)</f>
        <v>1266.0999999999999</v>
      </c>
      <c r="AD71" s="286">
        <f>MEDIAN(AD58:AD59)</f>
        <v>5.173293534972041</v>
      </c>
      <c r="AE71" s="295">
        <f>MEDIAN(AE58:AE59)</f>
        <v>0.52207824055592045</v>
      </c>
      <c r="AF71" s="291">
        <f>MEDIAN(AF58:AF63)</f>
        <v>1500</v>
      </c>
      <c r="AG71" s="286">
        <f>MEDIAN(AG58:AG63)</f>
        <v>4</v>
      </c>
      <c r="AH71" s="295">
        <f>MEDIAN(AH58:AH63)</f>
        <v>0.3726710604670152</v>
      </c>
      <c r="AI71" s="294">
        <f>AVERAGE(AI58:AI67)</f>
        <v>1605.6299999999999</v>
      </c>
      <c r="AJ71" s="286">
        <f>AVERAGE(AJ58:AJ67)</f>
        <v>2.8336615973578971</v>
      </c>
      <c r="AK71" s="295">
        <f>AVERAGE(AK58:AK67)</f>
        <v>0.31167945973902567</v>
      </c>
    </row>
    <row r="72" spans="6:37" ht="13.5" thickBot="1">
      <c r="Z72" s="312">
        <f>SUM(Z58:Z69)</f>
        <v>18423.7</v>
      </c>
      <c r="AA72" s="438">
        <f>Z72/Z73</f>
        <v>0.83113186267875672</v>
      </c>
      <c r="AB72"/>
      <c r="AC72" s="312">
        <f>SUM(AC58:AC70)</f>
        <v>2532.1999999999998</v>
      </c>
      <c r="AD72" s="438">
        <f>AC72/AC73</f>
        <v>0.11423286867866647</v>
      </c>
      <c r="AE72"/>
      <c r="AF72" s="312">
        <f>SUM(AF58:AF70)</f>
        <v>9572.4</v>
      </c>
      <c r="AG72" s="438">
        <f>AF72/AF73</f>
        <v>0.43183110028420624</v>
      </c>
      <c r="AH72"/>
      <c r="AI72" s="312">
        <f>SUM(AI58:AI70)</f>
        <v>16056.3</v>
      </c>
      <c r="AJ72" s="438">
        <f>AI72/AI73</f>
        <v>0.72433346866964399</v>
      </c>
    </row>
    <row r="73" spans="6:37">
      <c r="Z73" s="427">
        <f>SUM(F21:F34)/1000</f>
        <v>22167</v>
      </c>
      <c r="AA73"/>
      <c r="AB73"/>
      <c r="AC73" s="312">
        <f>Z73</f>
        <v>22167</v>
      </c>
      <c r="AD73"/>
      <c r="AE73"/>
      <c r="AF73" s="156">
        <f>AC73</f>
        <v>22167</v>
      </c>
      <c r="AI73" s="312">
        <f>AF73</f>
        <v>22167</v>
      </c>
    </row>
    <row r="74" spans="6:37">
      <c r="Z74"/>
      <c r="AA74"/>
      <c r="AB74"/>
      <c r="AC74"/>
      <c r="AD74"/>
      <c r="AE74"/>
      <c r="AI74"/>
    </row>
    <row r="75" spans="6:37">
      <c r="Z75"/>
      <c r="AA75"/>
      <c r="AB75"/>
      <c r="AC75"/>
      <c r="AD75"/>
      <c r="AE75"/>
      <c r="AI75"/>
    </row>
    <row r="79" spans="6:37">
      <c r="F79" s="239" t="s">
        <v>122</v>
      </c>
    </row>
    <row r="80" spans="6:37" ht="13.5" thickBot="1">
      <c r="Q80" s="702" t="s">
        <v>261</v>
      </c>
      <c r="R80" s="702"/>
      <c r="S80" s="702"/>
      <c r="T80" s="702"/>
      <c r="U80" s="702"/>
      <c r="V80"/>
      <c r="W80"/>
      <c r="X80" s="702" t="s">
        <v>260</v>
      </c>
      <c r="Y80" s="702"/>
      <c r="Z80" s="702"/>
      <c r="AA80" s="702"/>
      <c r="AB80" s="702"/>
      <c r="AC80"/>
      <c r="AD80"/>
      <c r="AE80"/>
      <c r="AF80"/>
      <c r="AG80"/>
      <c r="AH80"/>
      <c r="AI80"/>
      <c r="AJ80"/>
      <c r="AK80"/>
    </row>
    <row r="81" spans="3:37" ht="63.75">
      <c r="C81" s="256"/>
      <c r="D81" s="256"/>
      <c r="E81" s="257" t="s">
        <v>92</v>
      </c>
      <c r="F81" s="257" t="s">
        <v>93</v>
      </c>
      <c r="G81" s="258" t="s">
        <v>94</v>
      </c>
      <c r="H81" s="259" t="s">
        <v>95</v>
      </c>
      <c r="I81" s="260" t="s">
        <v>96</v>
      </c>
      <c r="J81" s="256"/>
      <c r="K81" s="256"/>
      <c r="L81" s="256"/>
      <c r="M81" s="256"/>
      <c r="N81" s="256"/>
      <c r="Q81" s="428" t="s">
        <v>262</v>
      </c>
      <c r="R81" s="428" t="s">
        <v>137</v>
      </c>
      <c r="S81" s="428" t="s">
        <v>64</v>
      </c>
      <c r="T81" s="428" t="s">
        <v>138</v>
      </c>
      <c r="U81" s="428" t="s">
        <v>139</v>
      </c>
      <c r="V81"/>
      <c r="W81"/>
      <c r="X81" s="428" t="s">
        <v>262</v>
      </c>
      <c r="Y81" s="428" t="s">
        <v>137</v>
      </c>
      <c r="Z81" s="428" t="s">
        <v>64</v>
      </c>
      <c r="AA81" s="428" t="s">
        <v>138</v>
      </c>
      <c r="AB81" s="428" t="s">
        <v>139</v>
      </c>
      <c r="AC81"/>
      <c r="AD81"/>
      <c r="AE81"/>
      <c r="AF81"/>
      <c r="AG81"/>
      <c r="AH81"/>
      <c r="AI81"/>
      <c r="AJ81"/>
      <c r="AK81"/>
    </row>
    <row r="82" spans="3:37">
      <c r="C82" s="256"/>
      <c r="D82" s="256"/>
      <c r="E82" s="261">
        <v>12</v>
      </c>
      <c r="F82" s="261">
        <v>40</v>
      </c>
      <c r="G82" s="262">
        <v>70700</v>
      </c>
      <c r="H82" s="263">
        <v>15300</v>
      </c>
      <c r="I82" s="264">
        <v>55400</v>
      </c>
      <c r="J82" s="256"/>
      <c r="K82" s="265"/>
      <c r="L82" s="265"/>
      <c r="M82" s="266"/>
      <c r="N82" s="266"/>
      <c r="Q82" s="345" t="s">
        <v>132</v>
      </c>
      <c r="R82" s="393">
        <f>AA54</f>
        <v>0.24472529099793966</v>
      </c>
      <c r="S82" s="393">
        <f>AD54</f>
        <v>6.8556134677155448E-2</v>
      </c>
      <c r="T82" s="393">
        <f>AG54</f>
        <v>0.16327694667429624</v>
      </c>
      <c r="U82" s="393">
        <f>AJ54</f>
        <v>0.56214476496214794</v>
      </c>
      <c r="V82"/>
      <c r="W82"/>
      <c r="X82" s="345" t="s">
        <v>132</v>
      </c>
      <c r="Y82" s="393">
        <f>'ECM Estimated Cost &amp; Savings'!C21</f>
        <v>0.55555555555555558</v>
      </c>
      <c r="Z82" s="393">
        <f>'ECM Estimated Cost &amp; Savings'!F21</f>
        <v>0.88888888888888884</v>
      </c>
      <c r="AA82" s="393">
        <f>'ECM Estimated Cost &amp; Savings'!I21</f>
        <v>0.55555555555555558</v>
      </c>
      <c r="AB82" s="393">
        <f>'ECM Estimated Cost &amp; Savings'!L21</f>
        <v>0.44444444444444442</v>
      </c>
      <c r="AC82"/>
      <c r="AD82"/>
      <c r="AE82"/>
      <c r="AF82"/>
      <c r="AG82"/>
      <c r="AH82"/>
      <c r="AI82"/>
      <c r="AJ82"/>
      <c r="AK82"/>
    </row>
    <row r="83" spans="3:37">
      <c r="C83" s="256"/>
      <c r="D83" s="256"/>
      <c r="E83" s="261">
        <v>10</v>
      </c>
      <c r="F83" s="261">
        <v>10</v>
      </c>
      <c r="G83" s="262">
        <v>22300</v>
      </c>
      <c r="H83" s="263">
        <v>8200</v>
      </c>
      <c r="I83" s="264">
        <v>14100</v>
      </c>
      <c r="J83" s="256"/>
      <c r="K83" s="265"/>
      <c r="L83" s="265"/>
      <c r="M83" s="266"/>
      <c r="N83" s="266"/>
      <c r="Q83" s="345" t="s">
        <v>133</v>
      </c>
      <c r="R83" s="393">
        <f>AA72</f>
        <v>0.83113186267875672</v>
      </c>
      <c r="S83" s="393">
        <f>AD72</f>
        <v>0.11423286867866647</v>
      </c>
      <c r="T83" s="393">
        <f>AG72</f>
        <v>0.43183110028420624</v>
      </c>
      <c r="U83" s="393">
        <f>AJ72</f>
        <v>0.72433346866964399</v>
      </c>
      <c r="V83"/>
      <c r="W83"/>
      <c r="X83" s="345" t="s">
        <v>133</v>
      </c>
      <c r="Y83" s="393">
        <f>'ECM Estimated Cost &amp; Savings'!C38</f>
        <v>0.14285714285714285</v>
      </c>
      <c r="Z83" s="393">
        <f>'ECM Estimated Cost &amp; Savings'!F38</f>
        <v>0.8571428571428571</v>
      </c>
      <c r="AA83" s="393">
        <f>'ECM Estimated Cost &amp; Savings'!I38</f>
        <v>0.5714285714285714</v>
      </c>
      <c r="AB83" s="393">
        <f>'ECM Estimated Cost &amp; Savings'!L38</f>
        <v>0.21428571428571427</v>
      </c>
      <c r="AC83"/>
      <c r="AD83"/>
      <c r="AE83"/>
      <c r="AF83"/>
      <c r="AG83"/>
      <c r="AH83"/>
      <c r="AI83"/>
      <c r="AJ83"/>
      <c r="AK83"/>
    </row>
    <row r="84" spans="3:37">
      <c r="C84" s="256"/>
      <c r="D84" s="256"/>
      <c r="E84" s="261">
        <v>14</v>
      </c>
      <c r="F84" s="261">
        <v>7.5</v>
      </c>
      <c r="G84" s="262">
        <v>29100</v>
      </c>
      <c r="H84" s="263">
        <v>14900</v>
      </c>
      <c r="I84" s="264">
        <v>14200</v>
      </c>
      <c r="J84" s="256"/>
      <c r="K84" s="265"/>
      <c r="L84" s="265"/>
      <c r="M84" s="266"/>
      <c r="N84" s="266"/>
      <c r="V84"/>
      <c r="W84"/>
      <c r="X84"/>
      <c r="Y84"/>
      <c r="Z84"/>
      <c r="AA84"/>
      <c r="AB84"/>
      <c r="AC84"/>
      <c r="AD84"/>
      <c r="AE84"/>
      <c r="AF84"/>
      <c r="AG84"/>
      <c r="AH84"/>
      <c r="AI84"/>
      <c r="AJ84"/>
      <c r="AK84"/>
    </row>
    <row r="85" spans="3:37">
      <c r="C85" s="256"/>
      <c r="D85" s="256"/>
      <c r="E85" s="261">
        <v>22.5</v>
      </c>
      <c r="F85" s="261">
        <v>20</v>
      </c>
      <c r="G85" s="262">
        <v>122700</v>
      </c>
      <c r="H85" s="263">
        <v>30000</v>
      </c>
      <c r="I85" s="264">
        <v>92700</v>
      </c>
      <c r="J85" s="256"/>
      <c r="K85" s="265"/>
      <c r="L85" s="265"/>
      <c r="M85" s="266"/>
      <c r="N85" s="266"/>
      <c r="P85" s="239"/>
      <c r="Q85"/>
      <c r="R85" s="312"/>
      <c r="S85"/>
      <c r="T85"/>
      <c r="U85"/>
      <c r="V85"/>
      <c r="W85"/>
      <c r="X85"/>
      <c r="Y85"/>
      <c r="Z85"/>
      <c r="AA85"/>
      <c r="AB85"/>
      <c r="AC85"/>
      <c r="AD85"/>
      <c r="AE85"/>
      <c r="AF85"/>
      <c r="AG85"/>
      <c r="AH85"/>
      <c r="AI85"/>
      <c r="AJ85"/>
      <c r="AK85"/>
    </row>
    <row r="86" spans="3:37">
      <c r="C86" s="256"/>
      <c r="D86" s="256"/>
      <c r="E86" s="261">
        <v>12</v>
      </c>
      <c r="F86" s="261">
        <v>20</v>
      </c>
      <c r="G86" s="262">
        <v>42000</v>
      </c>
      <c r="H86" s="263">
        <v>23900</v>
      </c>
      <c r="I86" s="264">
        <v>18100</v>
      </c>
      <c r="J86" s="256"/>
      <c r="K86" s="265"/>
      <c r="L86" s="265"/>
      <c r="M86" s="266"/>
      <c r="N86" s="266"/>
      <c r="Q86"/>
      <c r="R86"/>
      <c r="S86"/>
      <c r="T86"/>
      <c r="U86"/>
      <c r="V86"/>
      <c r="W86"/>
      <c r="X86"/>
      <c r="Y86"/>
      <c r="Z86"/>
      <c r="AA86"/>
      <c r="AB86"/>
      <c r="AC86"/>
      <c r="AD86"/>
      <c r="AE86"/>
      <c r="AF86"/>
      <c r="AG86"/>
      <c r="AH86"/>
      <c r="AI86"/>
      <c r="AJ86"/>
      <c r="AK86"/>
    </row>
    <row r="87" spans="3:37">
      <c r="C87" s="256"/>
      <c r="D87" s="256"/>
      <c r="E87" s="261">
        <v>7.5</v>
      </c>
      <c r="F87" s="261">
        <v>10</v>
      </c>
      <c r="G87" s="262">
        <v>23000</v>
      </c>
      <c r="H87" s="263">
        <v>6700</v>
      </c>
      <c r="I87" s="264">
        <v>16300</v>
      </c>
      <c r="J87" s="256"/>
      <c r="K87" s="265"/>
      <c r="L87" s="265"/>
      <c r="M87" s="266"/>
      <c r="N87" s="266"/>
      <c r="P87" s="239"/>
      <c r="Q87"/>
      <c r="R87" s="312"/>
      <c r="S87" s="312"/>
      <c r="T87"/>
      <c r="U87" s="312"/>
      <c r="V87"/>
      <c r="W87"/>
      <c r="X87"/>
      <c r="Y87"/>
      <c r="Z87"/>
      <c r="AA87"/>
      <c r="AB87"/>
      <c r="AC87"/>
      <c r="AD87"/>
      <c r="AE87"/>
      <c r="AF87"/>
      <c r="AG87"/>
      <c r="AH87"/>
      <c r="AI87"/>
      <c r="AJ87"/>
      <c r="AK87"/>
    </row>
    <row r="88" spans="3:37">
      <c r="C88" s="256"/>
      <c r="D88" s="256"/>
      <c r="E88" s="261">
        <v>10.5</v>
      </c>
      <c r="F88" s="261">
        <v>10</v>
      </c>
      <c r="G88" s="262">
        <v>27200</v>
      </c>
      <c r="H88" s="263">
        <v>9500</v>
      </c>
      <c r="I88" s="264">
        <v>17700</v>
      </c>
      <c r="J88" s="256"/>
      <c r="K88" s="265"/>
      <c r="L88" s="265"/>
      <c r="M88" s="266"/>
      <c r="N88" s="266"/>
      <c r="P88" s="239"/>
      <c r="Q88"/>
      <c r="R88" s="312"/>
      <c r="S88"/>
      <c r="T88"/>
      <c r="U88"/>
      <c r="V88"/>
      <c r="W88"/>
      <c r="X88"/>
      <c r="Y88"/>
      <c r="Z88"/>
      <c r="AA88"/>
      <c r="AB88"/>
      <c r="AC88"/>
      <c r="AD88"/>
      <c r="AE88"/>
      <c r="AF88"/>
      <c r="AG88"/>
      <c r="AH88"/>
      <c r="AI88"/>
      <c r="AJ88"/>
      <c r="AK88"/>
    </row>
    <row r="89" spans="3:37">
      <c r="C89" s="256"/>
      <c r="D89" s="256"/>
      <c r="E89" s="261">
        <v>12</v>
      </c>
      <c r="F89" s="261">
        <v>10</v>
      </c>
      <c r="G89" s="262">
        <v>30400</v>
      </c>
      <c r="H89" s="263">
        <v>15000</v>
      </c>
      <c r="I89" s="264">
        <v>15400</v>
      </c>
      <c r="J89" s="256"/>
      <c r="K89" s="265"/>
      <c r="L89" s="265"/>
      <c r="M89" s="266"/>
      <c r="N89" s="266"/>
      <c r="Q89"/>
      <c r="R89"/>
      <c r="S89"/>
      <c r="T89"/>
      <c r="U89"/>
      <c r="V89"/>
      <c r="W89"/>
      <c r="X89"/>
      <c r="Y89"/>
      <c r="Z89"/>
      <c r="AA89"/>
      <c r="AB89"/>
      <c r="AC89"/>
      <c r="AD89"/>
      <c r="AE89"/>
      <c r="AF89"/>
      <c r="AG89"/>
      <c r="AH89"/>
      <c r="AI89"/>
      <c r="AJ89"/>
      <c r="AK89"/>
    </row>
    <row r="90" spans="3:37">
      <c r="C90" s="256"/>
      <c r="D90" s="256"/>
      <c r="E90" s="261">
        <v>12</v>
      </c>
      <c r="F90" s="261">
        <v>20</v>
      </c>
      <c r="G90" s="262">
        <v>70300</v>
      </c>
      <c r="H90" s="263">
        <v>18000</v>
      </c>
      <c r="I90" s="264">
        <v>52300</v>
      </c>
      <c r="J90" s="256"/>
      <c r="K90" s="265"/>
      <c r="L90" s="265"/>
      <c r="M90" s="266"/>
      <c r="N90" s="266"/>
      <c r="Q90"/>
      <c r="R90"/>
      <c r="S90"/>
      <c r="T90"/>
      <c r="U90"/>
      <c r="V90"/>
      <c r="W90"/>
      <c r="X90"/>
      <c r="Y90"/>
      <c r="Z90"/>
      <c r="AA90"/>
      <c r="AB90"/>
      <c r="AC90"/>
      <c r="AD90"/>
      <c r="AE90"/>
      <c r="AF90"/>
      <c r="AG90"/>
      <c r="AH90"/>
      <c r="AI90"/>
      <c r="AJ90"/>
      <c r="AK90"/>
    </row>
    <row r="91" spans="3:37">
      <c r="C91" s="256"/>
      <c r="D91" s="256"/>
      <c r="E91" s="261">
        <v>9</v>
      </c>
      <c r="F91" s="261">
        <v>10</v>
      </c>
      <c r="G91" s="262">
        <v>28600</v>
      </c>
      <c r="H91" s="263">
        <v>7700</v>
      </c>
      <c r="I91" s="264">
        <v>20900</v>
      </c>
      <c r="J91" s="256"/>
      <c r="K91" s="265"/>
      <c r="L91" s="265"/>
      <c r="M91" s="266"/>
      <c r="N91" s="266"/>
      <c r="Q91"/>
      <c r="R91"/>
      <c r="S91"/>
      <c r="T91"/>
      <c r="U91"/>
      <c r="V91"/>
      <c r="W91"/>
      <c r="X91"/>
      <c r="Y91"/>
      <c r="Z91"/>
      <c r="AA91"/>
      <c r="AB91"/>
      <c r="AC91"/>
      <c r="AD91"/>
      <c r="AE91"/>
      <c r="AF91"/>
      <c r="AG91"/>
      <c r="AH91"/>
      <c r="AI91"/>
      <c r="AJ91"/>
      <c r="AK91"/>
    </row>
    <row r="92" spans="3:37" ht="13.5" thickBot="1">
      <c r="C92" s="256"/>
      <c r="D92" s="256"/>
      <c r="E92" s="267">
        <v>10</v>
      </c>
      <c r="F92" s="267">
        <v>20</v>
      </c>
      <c r="G92" s="268">
        <v>66800</v>
      </c>
      <c r="H92" s="269">
        <v>17200</v>
      </c>
      <c r="I92" s="270">
        <v>49600</v>
      </c>
      <c r="J92" s="256"/>
      <c r="K92" s="265"/>
      <c r="L92" s="265"/>
      <c r="M92" s="266"/>
      <c r="N92" s="266"/>
      <c r="Q92"/>
      <c r="R92"/>
      <c r="S92"/>
      <c r="T92"/>
      <c r="U92"/>
      <c r="V92"/>
      <c r="W92"/>
      <c r="X92"/>
      <c r="Y92"/>
      <c r="Z92"/>
      <c r="AA92"/>
      <c r="AB92"/>
      <c r="AC92"/>
      <c r="AD92"/>
      <c r="AE92"/>
      <c r="AF92"/>
      <c r="AG92"/>
      <c r="AH92"/>
      <c r="AI92"/>
      <c r="AJ92"/>
      <c r="AK92"/>
    </row>
    <row r="93" spans="3:37">
      <c r="C93" s="256"/>
      <c r="D93" s="256"/>
      <c r="E93" s="271">
        <f>AVERAGE(E82:E92)</f>
        <v>11.954545454545455</v>
      </c>
      <c r="F93" s="271">
        <f>AVERAGE(F82:F92)</f>
        <v>16.136363636363637</v>
      </c>
      <c r="G93" s="271">
        <f>AVERAGE(G82:G92)</f>
        <v>48463.63636363636</v>
      </c>
      <c r="H93" s="271">
        <f>AVERAGE(H82:H92)</f>
        <v>15127.272727272728</v>
      </c>
      <c r="I93" s="271">
        <f>AVERAGE(I82:I92)</f>
        <v>33336.36363636364</v>
      </c>
      <c r="J93" s="256"/>
      <c r="K93" s="256"/>
      <c r="L93" s="256"/>
      <c r="M93" s="256"/>
      <c r="N93" s="256"/>
      <c r="Q93"/>
      <c r="R93"/>
      <c r="S93"/>
      <c r="T93"/>
      <c r="U93"/>
      <c r="V93"/>
      <c r="W93"/>
      <c r="X93"/>
      <c r="Y93"/>
      <c r="Z93"/>
      <c r="AA93"/>
      <c r="AB93"/>
      <c r="AC93"/>
      <c r="AD93"/>
      <c r="AE93"/>
      <c r="AF93"/>
      <c r="AG93"/>
      <c r="AH93"/>
      <c r="AI93"/>
      <c r="AJ93"/>
      <c r="AK93"/>
    </row>
    <row r="94" spans="3:37">
      <c r="C94" s="256"/>
      <c r="D94" s="256"/>
      <c r="E94" s="256"/>
      <c r="F94" s="256"/>
      <c r="G94" s="256"/>
      <c r="H94" s="256"/>
      <c r="I94" s="256"/>
      <c r="J94" s="256"/>
      <c r="K94" s="256"/>
      <c r="L94" s="256"/>
      <c r="M94" s="256"/>
      <c r="N94" s="256"/>
      <c r="Q94"/>
      <c r="R94"/>
      <c r="S94"/>
      <c r="T94"/>
      <c r="U94"/>
      <c r="V94"/>
      <c r="W94"/>
      <c r="X94"/>
      <c r="Y94"/>
      <c r="Z94"/>
      <c r="AA94"/>
      <c r="AB94"/>
      <c r="AC94"/>
      <c r="AD94"/>
      <c r="AE94"/>
      <c r="AF94"/>
      <c r="AG94"/>
      <c r="AH94"/>
      <c r="AI94"/>
      <c r="AJ94"/>
      <c r="AK94"/>
    </row>
    <row r="95" spans="3:37">
      <c r="C95" s="256"/>
      <c r="D95" s="256"/>
      <c r="E95" s="256"/>
      <c r="F95" s="256"/>
      <c r="G95" s="256"/>
      <c r="H95" s="256"/>
      <c r="I95" s="256"/>
      <c r="J95" s="256"/>
      <c r="K95" s="256"/>
      <c r="L95" s="256"/>
      <c r="M95" s="256"/>
      <c r="N95" s="256"/>
      <c r="Q95"/>
      <c r="R95"/>
      <c r="S95"/>
      <c r="T95"/>
      <c r="U95"/>
      <c r="V95"/>
      <c r="W95"/>
      <c r="X95"/>
      <c r="Y95"/>
      <c r="Z95"/>
      <c r="AA95"/>
      <c r="AB95"/>
      <c r="AC95"/>
      <c r="AD95"/>
      <c r="AE95"/>
      <c r="AF95"/>
      <c r="AG95"/>
      <c r="AH95"/>
      <c r="AI95"/>
      <c r="AJ95"/>
      <c r="AK95"/>
    </row>
    <row r="96" spans="3:37">
      <c r="C96" s="256"/>
      <c r="D96" s="256"/>
      <c r="E96" s="271" t="s">
        <v>97</v>
      </c>
      <c r="F96" s="271"/>
      <c r="G96" s="271"/>
      <c r="H96" s="271"/>
      <c r="I96" s="271"/>
      <c r="J96" s="271"/>
      <c r="K96" s="271"/>
      <c r="L96" s="271"/>
      <c r="M96" s="271"/>
      <c r="N96" s="256"/>
      <c r="Q96"/>
      <c r="R96"/>
      <c r="S96"/>
      <c r="T96"/>
      <c r="U96"/>
      <c r="V96"/>
      <c r="W96"/>
      <c r="X96"/>
      <c r="Y96"/>
      <c r="Z96"/>
      <c r="AA96"/>
      <c r="AB96"/>
      <c r="AC96"/>
      <c r="AD96"/>
      <c r="AE96"/>
      <c r="AF96"/>
      <c r="AG96"/>
      <c r="AH96"/>
      <c r="AI96"/>
      <c r="AJ96"/>
      <c r="AK96"/>
    </row>
    <row r="97" spans="3:37" ht="13.5" thickBot="1">
      <c r="C97" s="256"/>
      <c r="D97" s="256"/>
      <c r="E97" s="271"/>
      <c r="F97" s="271"/>
      <c r="G97" s="271"/>
      <c r="H97" s="271"/>
      <c r="I97" s="271"/>
      <c r="J97" s="271"/>
      <c r="K97" s="271"/>
      <c r="L97" s="271"/>
      <c r="M97" s="271"/>
      <c r="N97" s="256"/>
      <c r="Q97"/>
      <c r="R97"/>
      <c r="S97"/>
      <c r="T97"/>
      <c r="U97"/>
      <c r="V97"/>
      <c r="W97"/>
      <c r="X97"/>
      <c r="Y97"/>
      <c r="Z97"/>
      <c r="AA97"/>
      <c r="AB97"/>
      <c r="AC97"/>
      <c r="AD97"/>
      <c r="AE97"/>
      <c r="AF97"/>
      <c r="AG97"/>
      <c r="AH97"/>
      <c r="AI97"/>
      <c r="AJ97"/>
      <c r="AK97"/>
    </row>
    <row r="98" spans="3:37">
      <c r="C98" s="256"/>
      <c r="D98" s="256"/>
      <c r="E98" s="272" t="s">
        <v>98</v>
      </c>
      <c r="F98" s="272"/>
      <c r="G98" s="271"/>
      <c r="H98" s="271"/>
      <c r="I98" s="271"/>
      <c r="J98" s="271"/>
      <c r="K98" s="271"/>
      <c r="L98" s="271"/>
      <c r="M98" s="271"/>
      <c r="N98" s="256"/>
      <c r="Q98"/>
      <c r="R98"/>
      <c r="S98"/>
      <c r="T98"/>
      <c r="U98"/>
      <c r="V98"/>
      <c r="W98"/>
      <c r="X98"/>
      <c r="Y98"/>
      <c r="Z98"/>
      <c r="AA98"/>
      <c r="AB98"/>
      <c r="AC98"/>
      <c r="AD98"/>
      <c r="AE98"/>
      <c r="AF98"/>
      <c r="AG98"/>
      <c r="AH98"/>
      <c r="AI98"/>
      <c r="AJ98"/>
      <c r="AK98"/>
    </row>
    <row r="99" spans="3:37">
      <c r="C99" s="256"/>
      <c r="D99" s="256"/>
      <c r="E99" s="273" t="s">
        <v>99</v>
      </c>
      <c r="F99" s="273">
        <v>0.90308626199432507</v>
      </c>
      <c r="G99" s="271"/>
      <c r="H99" s="271"/>
      <c r="I99" s="271"/>
      <c r="J99" s="271"/>
      <c r="K99" s="271"/>
      <c r="L99" s="271"/>
      <c r="M99" s="271"/>
      <c r="N99" s="256"/>
      <c r="Q99"/>
      <c r="R99"/>
      <c r="S99"/>
      <c r="T99"/>
      <c r="U99"/>
      <c r="V99"/>
      <c r="W99"/>
      <c r="X99"/>
      <c r="Y99"/>
      <c r="Z99"/>
      <c r="AA99"/>
      <c r="AB99"/>
      <c r="AC99"/>
      <c r="AD99"/>
      <c r="AE99"/>
      <c r="AF99"/>
      <c r="AG99"/>
      <c r="AH99"/>
      <c r="AI99"/>
      <c r="AJ99"/>
      <c r="AK99"/>
    </row>
    <row r="100" spans="3:37">
      <c r="C100" s="256"/>
      <c r="D100" s="256"/>
      <c r="E100" s="273" t="s">
        <v>100</v>
      </c>
      <c r="F100" s="273">
        <v>0.81556479660288272</v>
      </c>
      <c r="G100" s="271"/>
      <c r="H100" s="271"/>
      <c r="I100" s="271"/>
      <c r="J100" s="271"/>
      <c r="K100" s="271"/>
      <c r="L100" s="271"/>
      <c r="M100" s="271"/>
      <c r="N100" s="256"/>
      <c r="Q100"/>
      <c r="R100"/>
      <c r="S100"/>
      <c r="T100"/>
      <c r="U100"/>
      <c r="V100"/>
      <c r="W100"/>
      <c r="X100"/>
      <c r="Y100"/>
      <c r="Z100"/>
      <c r="AA100"/>
      <c r="AB100"/>
      <c r="AC100"/>
      <c r="AD100"/>
      <c r="AE100"/>
      <c r="AF100"/>
      <c r="AG100"/>
      <c r="AH100"/>
      <c r="AI100"/>
      <c r="AJ100"/>
      <c r="AK100"/>
    </row>
    <row r="101" spans="3:37">
      <c r="C101" s="256"/>
      <c r="D101" s="256"/>
      <c r="E101" s="273" t="s">
        <v>101</v>
      </c>
      <c r="F101" s="273">
        <v>0.76945599575360335</v>
      </c>
      <c r="G101" s="271"/>
      <c r="H101" s="271"/>
      <c r="I101" s="271"/>
      <c r="J101" s="271"/>
      <c r="K101" s="271"/>
      <c r="L101" s="271"/>
      <c r="M101" s="271"/>
      <c r="N101" s="256"/>
      <c r="Q101"/>
      <c r="R101"/>
      <c r="S101"/>
      <c r="T101"/>
      <c r="U101"/>
      <c r="V101"/>
      <c r="W101"/>
      <c r="X101"/>
      <c r="Y101"/>
      <c r="Z101"/>
      <c r="AA101"/>
      <c r="AB101"/>
      <c r="AC101"/>
      <c r="AD101"/>
      <c r="AE101"/>
      <c r="AF101"/>
      <c r="AG101"/>
      <c r="AH101"/>
      <c r="AI101"/>
      <c r="AJ101"/>
      <c r="AK101"/>
    </row>
    <row r="102" spans="3:37">
      <c r="C102" s="256"/>
      <c r="D102" s="256"/>
      <c r="E102" s="273" t="s">
        <v>102</v>
      </c>
      <c r="F102" s="273">
        <v>14985.915092772111</v>
      </c>
      <c r="G102" s="271"/>
      <c r="H102" s="271"/>
      <c r="I102" s="271"/>
      <c r="J102" s="271"/>
      <c r="K102" s="271"/>
      <c r="L102" s="271"/>
      <c r="M102" s="271"/>
      <c r="N102" s="256"/>
      <c r="Q102"/>
      <c r="R102"/>
      <c r="S102"/>
      <c r="T102"/>
      <c r="U102"/>
      <c r="V102"/>
      <c r="W102"/>
      <c r="X102"/>
      <c r="Y102"/>
      <c r="Z102"/>
      <c r="AA102"/>
      <c r="AB102"/>
      <c r="AC102"/>
      <c r="AD102"/>
      <c r="AE102"/>
      <c r="AF102"/>
      <c r="AG102"/>
      <c r="AH102"/>
      <c r="AI102"/>
      <c r="AJ102"/>
      <c r="AK102"/>
    </row>
    <row r="103" spans="3:37" ht="13.5" thickBot="1">
      <c r="C103" s="256"/>
      <c r="D103" s="256"/>
      <c r="E103" s="274" t="s">
        <v>103</v>
      </c>
      <c r="F103" s="274">
        <v>11</v>
      </c>
      <c r="G103" s="271"/>
      <c r="H103" s="271"/>
      <c r="I103" s="271"/>
      <c r="J103" s="271"/>
      <c r="K103" s="271"/>
      <c r="L103" s="271"/>
      <c r="M103" s="271"/>
      <c r="N103" s="256"/>
      <c r="Q103"/>
      <c r="R103"/>
      <c r="S103"/>
      <c r="T103"/>
      <c r="U103"/>
      <c r="V103"/>
      <c r="W103"/>
      <c r="X103"/>
      <c r="Y103"/>
      <c r="Z103"/>
      <c r="AA103"/>
      <c r="AB103"/>
      <c r="AC103"/>
      <c r="AD103"/>
      <c r="AE103"/>
      <c r="AF103"/>
      <c r="AG103"/>
      <c r="AH103"/>
      <c r="AI103"/>
      <c r="AJ103"/>
      <c r="AK103"/>
    </row>
    <row r="104" spans="3:37">
      <c r="C104" s="256"/>
      <c r="D104" s="256"/>
      <c r="E104" s="271"/>
      <c r="F104" s="271"/>
      <c r="G104" s="271"/>
      <c r="H104" s="271"/>
      <c r="I104" s="271"/>
      <c r="J104" s="271"/>
      <c r="K104" s="271"/>
      <c r="L104" s="271"/>
      <c r="M104" s="271"/>
      <c r="N104" s="256"/>
      <c r="Q104"/>
      <c r="R104"/>
      <c r="S104"/>
      <c r="T104"/>
      <c r="U104"/>
      <c r="V104"/>
      <c r="W104"/>
      <c r="X104"/>
      <c r="Y104"/>
      <c r="Z104"/>
      <c r="AA104"/>
      <c r="AB104"/>
      <c r="AC104"/>
      <c r="AD104"/>
      <c r="AE104"/>
      <c r="AF104"/>
      <c r="AG104"/>
      <c r="AH104"/>
      <c r="AI104"/>
      <c r="AJ104"/>
      <c r="AK104"/>
    </row>
    <row r="105" spans="3:37" ht="13.5" thickBot="1">
      <c r="C105" s="256"/>
      <c r="D105" s="256"/>
      <c r="E105" s="271" t="s">
        <v>104</v>
      </c>
      <c r="F105" s="271"/>
      <c r="G105" s="271"/>
      <c r="H105" s="271"/>
      <c r="I105" s="271"/>
      <c r="J105" s="271"/>
      <c r="K105" s="271"/>
      <c r="L105" s="271"/>
      <c r="M105" s="271"/>
      <c r="N105" s="256"/>
      <c r="Q105"/>
      <c r="R105"/>
      <c r="S105"/>
      <c r="T105"/>
      <c r="U105"/>
      <c r="V105"/>
      <c r="W105"/>
      <c r="X105"/>
      <c r="Y105"/>
      <c r="Z105"/>
      <c r="AA105"/>
      <c r="AB105"/>
      <c r="AC105"/>
      <c r="AD105"/>
      <c r="AE105"/>
      <c r="AF105"/>
      <c r="AG105"/>
      <c r="AH105"/>
      <c r="AI105"/>
      <c r="AJ105"/>
      <c r="AK105"/>
    </row>
    <row r="106" spans="3:37">
      <c r="C106" s="256"/>
      <c r="D106" s="256"/>
      <c r="E106" s="275"/>
      <c r="F106" s="275" t="s">
        <v>105</v>
      </c>
      <c r="G106" s="275" t="s">
        <v>106</v>
      </c>
      <c r="H106" s="275" t="s">
        <v>107</v>
      </c>
      <c r="I106" s="275" t="s">
        <v>108</v>
      </c>
      <c r="J106" s="275" t="s">
        <v>109</v>
      </c>
      <c r="K106" s="271"/>
      <c r="L106" s="271"/>
      <c r="M106" s="271"/>
      <c r="N106" s="256"/>
      <c r="Q106"/>
      <c r="R106"/>
      <c r="S106"/>
      <c r="T106"/>
      <c r="U106"/>
      <c r="V106"/>
      <c r="W106"/>
      <c r="X106"/>
      <c r="Y106"/>
      <c r="Z106"/>
      <c r="AA106"/>
      <c r="AB106"/>
      <c r="AC106"/>
      <c r="AD106"/>
      <c r="AE106"/>
      <c r="AF106"/>
      <c r="AG106"/>
      <c r="AH106"/>
      <c r="AI106"/>
      <c r="AJ106"/>
      <c r="AK106"/>
    </row>
    <row r="107" spans="3:37">
      <c r="C107" s="256"/>
      <c r="D107" s="256"/>
      <c r="E107" s="273" t="s">
        <v>110</v>
      </c>
      <c r="F107" s="273">
        <v>2</v>
      </c>
      <c r="G107" s="273">
        <v>7944584245.2032566</v>
      </c>
      <c r="H107" s="273">
        <v>3972292122.6016283</v>
      </c>
      <c r="I107" s="273">
        <v>17.687833593174648</v>
      </c>
      <c r="J107" s="273">
        <v>1.1571116763058123E-3</v>
      </c>
      <c r="K107" s="271"/>
      <c r="L107" s="271"/>
      <c r="M107" s="271"/>
      <c r="N107" s="256"/>
      <c r="Q107"/>
      <c r="R107"/>
      <c r="S107"/>
      <c r="T107"/>
      <c r="U107"/>
      <c r="V107"/>
      <c r="W107"/>
      <c r="X107"/>
      <c r="Y107"/>
      <c r="Z107"/>
      <c r="AA107"/>
      <c r="AB107"/>
      <c r="AC107"/>
      <c r="AD107"/>
      <c r="AE107"/>
      <c r="AF107"/>
      <c r="AG107"/>
      <c r="AH107"/>
      <c r="AI107"/>
      <c r="AJ107"/>
      <c r="AK107"/>
    </row>
    <row r="108" spans="3:37">
      <c r="C108" s="256"/>
      <c r="D108" s="256"/>
      <c r="E108" s="273" t="s">
        <v>111</v>
      </c>
      <c r="F108" s="273">
        <v>8</v>
      </c>
      <c r="G108" s="273">
        <v>1796621209.3421998</v>
      </c>
      <c r="H108" s="273">
        <v>224577651.16777498</v>
      </c>
      <c r="I108" s="273"/>
      <c r="J108" s="273"/>
      <c r="K108" s="271"/>
      <c r="L108" s="271"/>
      <c r="M108" s="271"/>
      <c r="N108" s="256"/>
      <c r="Q108"/>
      <c r="R108"/>
      <c r="S108"/>
      <c r="T108"/>
      <c r="U108"/>
      <c r="V108"/>
      <c r="W108"/>
      <c r="X108"/>
      <c r="Y108"/>
      <c r="Z108"/>
      <c r="AA108"/>
      <c r="AB108"/>
      <c r="AC108"/>
      <c r="AD108"/>
      <c r="AE108"/>
      <c r="AF108"/>
      <c r="AG108"/>
      <c r="AH108"/>
      <c r="AI108"/>
      <c r="AJ108"/>
      <c r="AK108"/>
    </row>
    <row r="109" spans="3:37" ht="13.5" thickBot="1">
      <c r="C109" s="256"/>
      <c r="D109" s="256"/>
      <c r="E109" s="274" t="s">
        <v>280</v>
      </c>
      <c r="F109" s="274">
        <v>10</v>
      </c>
      <c r="G109" s="274">
        <v>9741205454.5454559</v>
      </c>
      <c r="H109" s="274"/>
      <c r="I109" s="274"/>
      <c r="J109" s="274"/>
      <c r="K109" s="271"/>
      <c r="L109" s="271"/>
      <c r="M109" s="271"/>
      <c r="N109" s="256"/>
      <c r="Q109"/>
      <c r="R109"/>
      <c r="S109"/>
      <c r="T109"/>
      <c r="U109"/>
      <c r="V109"/>
      <c r="W109"/>
      <c r="X109"/>
      <c r="Y109"/>
      <c r="Z109"/>
      <c r="AA109"/>
      <c r="AB109"/>
      <c r="AC109"/>
      <c r="AD109"/>
      <c r="AE109"/>
      <c r="AF109"/>
      <c r="AG109"/>
      <c r="AH109"/>
      <c r="AI109"/>
      <c r="AJ109"/>
      <c r="AK109"/>
    </row>
    <row r="110" spans="3:37" ht="13.5" thickBot="1">
      <c r="C110" s="256"/>
      <c r="D110" s="256"/>
      <c r="E110" s="271"/>
      <c r="F110" s="271"/>
      <c r="G110" s="271"/>
      <c r="H110" s="271"/>
      <c r="I110" s="271"/>
      <c r="J110" s="271"/>
      <c r="K110" s="271"/>
      <c r="L110" s="271"/>
      <c r="M110" s="271"/>
      <c r="N110" s="256"/>
      <c r="Q110"/>
      <c r="R110"/>
      <c r="S110"/>
      <c r="T110"/>
      <c r="U110"/>
      <c r="V110"/>
      <c r="W110"/>
      <c r="X110"/>
      <c r="Y110"/>
      <c r="Z110"/>
      <c r="AA110"/>
      <c r="AB110"/>
      <c r="AC110"/>
      <c r="AD110"/>
      <c r="AE110"/>
      <c r="AF110"/>
      <c r="AG110"/>
      <c r="AH110"/>
      <c r="AI110"/>
      <c r="AJ110"/>
      <c r="AK110"/>
    </row>
    <row r="111" spans="3:37">
      <c r="C111" s="256"/>
      <c r="D111" s="256"/>
      <c r="E111" s="275"/>
      <c r="F111" s="275" t="s">
        <v>112</v>
      </c>
      <c r="G111" s="275" t="s">
        <v>102</v>
      </c>
      <c r="H111" s="275" t="s">
        <v>113</v>
      </c>
      <c r="I111" s="275" t="s">
        <v>114</v>
      </c>
      <c r="J111" s="275" t="s">
        <v>115</v>
      </c>
      <c r="K111" s="275" t="s">
        <v>116</v>
      </c>
      <c r="L111" s="275" t="s">
        <v>117</v>
      </c>
      <c r="M111" s="275" t="s">
        <v>118</v>
      </c>
      <c r="N111" s="256"/>
      <c r="Q111"/>
      <c r="R111"/>
      <c r="S111"/>
      <c r="T111"/>
      <c r="U111"/>
      <c r="V111"/>
      <c r="W111"/>
      <c r="X111"/>
      <c r="Y111"/>
      <c r="Z111"/>
      <c r="AA111"/>
      <c r="AB111"/>
      <c r="AC111"/>
      <c r="AD111"/>
      <c r="AE111"/>
      <c r="AF111"/>
      <c r="AG111"/>
      <c r="AH111"/>
      <c r="AI111"/>
      <c r="AJ111"/>
      <c r="AK111"/>
    </row>
    <row r="112" spans="3:37">
      <c r="C112" s="256"/>
      <c r="D112" s="256"/>
      <c r="E112" s="273" t="s">
        <v>119</v>
      </c>
      <c r="F112" s="273">
        <v>-40945.472165474726</v>
      </c>
      <c r="G112" s="273">
        <v>15937.85754349486</v>
      </c>
      <c r="H112" s="273">
        <v>-2.5690700305065084</v>
      </c>
      <c r="I112" s="273">
        <v>3.3175521367128612E-2</v>
      </c>
      <c r="J112" s="273">
        <v>-77698.23753670638</v>
      </c>
      <c r="K112" s="273">
        <v>-4192.7067942430658</v>
      </c>
      <c r="L112" s="273">
        <v>-77698.23753670638</v>
      </c>
      <c r="M112" s="273">
        <v>-4192.7067942430658</v>
      </c>
      <c r="N112" s="256"/>
      <c r="Q112"/>
      <c r="R112"/>
      <c r="S112"/>
      <c r="T112"/>
      <c r="U112"/>
      <c r="V112"/>
      <c r="W112"/>
      <c r="X112"/>
      <c r="Y112"/>
      <c r="Z112"/>
      <c r="AA112"/>
      <c r="AB112"/>
      <c r="AC112"/>
      <c r="AD112"/>
      <c r="AE112"/>
      <c r="AF112"/>
      <c r="AG112"/>
      <c r="AH112"/>
      <c r="AI112"/>
      <c r="AJ112"/>
      <c r="AK112"/>
    </row>
    <row r="113" spans="3:14">
      <c r="C113" s="256"/>
      <c r="D113" s="256"/>
      <c r="E113" s="273" t="s">
        <v>92</v>
      </c>
      <c r="F113" s="273">
        <v>5447.7949541299431</v>
      </c>
      <c r="G113" s="273">
        <v>1240.2776524085043</v>
      </c>
      <c r="H113" s="273">
        <v>4.392399511150451</v>
      </c>
      <c r="I113" s="273">
        <v>2.3101177274013097E-3</v>
      </c>
      <c r="J113" s="273">
        <v>2587.7095612374064</v>
      </c>
      <c r="K113" s="273">
        <v>8307.8803470224793</v>
      </c>
      <c r="L113" s="273">
        <v>2587.7095612374064</v>
      </c>
      <c r="M113" s="273">
        <v>8307.8803470224793</v>
      </c>
      <c r="N113" s="256"/>
    </row>
    <row r="114" spans="3:14" ht="13.5" thickBot="1">
      <c r="C114" s="256"/>
      <c r="D114" s="256"/>
      <c r="E114" s="274" t="s">
        <v>93</v>
      </c>
      <c r="F114" s="274">
        <v>1504.8741259275182</v>
      </c>
      <c r="G114" s="274">
        <v>514.87391228375884</v>
      </c>
      <c r="H114" s="274">
        <v>2.9228012723591781</v>
      </c>
      <c r="I114" s="274">
        <v>1.9208692266741545E-2</v>
      </c>
      <c r="J114" s="274">
        <v>317.57275607328324</v>
      </c>
      <c r="K114" s="274">
        <v>2692.1754957817529</v>
      </c>
      <c r="L114" s="274">
        <v>317.57275607328324</v>
      </c>
      <c r="M114" s="274">
        <v>2692.1754957817529</v>
      </c>
      <c r="N114" s="256"/>
    </row>
    <row r="115" spans="3:14">
      <c r="C115" s="256"/>
      <c r="D115" s="256"/>
      <c r="E115" s="271"/>
      <c r="F115" s="271"/>
      <c r="G115" s="271"/>
      <c r="H115" s="271"/>
      <c r="I115" s="271"/>
      <c r="J115" s="271"/>
      <c r="K115" s="271"/>
      <c r="L115" s="271"/>
      <c r="M115" s="271"/>
      <c r="N115" s="256"/>
    </row>
    <row r="116" spans="3:14">
      <c r="C116" s="256"/>
      <c r="D116" s="256"/>
      <c r="E116" s="271"/>
      <c r="F116" s="271"/>
      <c r="G116" s="271"/>
      <c r="H116" s="271"/>
      <c r="I116" s="271"/>
      <c r="J116" s="271"/>
      <c r="K116" s="271"/>
      <c r="L116" s="271"/>
      <c r="M116" s="271"/>
      <c r="N116" s="256"/>
    </row>
    <row r="117" spans="3:14">
      <c r="C117" s="256"/>
      <c r="D117" s="276" t="s">
        <v>120</v>
      </c>
      <c r="E117" s="277">
        <f>F112+(F113*F117)+(F114*G117)</f>
        <v>48463.636363636368</v>
      </c>
      <c r="F117" s="278">
        <v>11.954545454545455</v>
      </c>
      <c r="G117" s="278">
        <v>16.136363636363637</v>
      </c>
      <c r="H117" s="271"/>
      <c r="I117" s="271"/>
      <c r="J117" s="271"/>
      <c r="K117" s="271"/>
      <c r="L117" s="271"/>
      <c r="M117" s="271"/>
      <c r="N117" s="256"/>
    </row>
    <row r="118" spans="3:14">
      <c r="C118" s="256"/>
      <c r="D118" s="276" t="s">
        <v>121</v>
      </c>
      <c r="E118" s="277">
        <f>F138+(F139*F118)+(F140*G118)</f>
        <v>15127.272727272728</v>
      </c>
      <c r="F118" s="278">
        <v>11.954545454545455</v>
      </c>
      <c r="G118" s="278">
        <v>16.136363636363637</v>
      </c>
      <c r="H118" s="256"/>
      <c r="I118" s="256"/>
      <c r="J118" s="256"/>
      <c r="K118" s="256"/>
      <c r="L118" s="256"/>
      <c r="M118" s="256"/>
      <c r="N118" s="256"/>
    </row>
    <row r="119" spans="3:14">
      <c r="C119" s="256"/>
      <c r="D119" s="276" t="s">
        <v>279</v>
      </c>
      <c r="E119" s="279">
        <f>E117-E118</f>
        <v>33336.36363636364</v>
      </c>
      <c r="F119" s="276"/>
      <c r="G119" s="276"/>
      <c r="H119" s="256"/>
      <c r="I119" s="256"/>
      <c r="J119" s="256"/>
      <c r="K119" s="256"/>
      <c r="L119" s="256"/>
      <c r="M119" s="256"/>
      <c r="N119" s="256"/>
    </row>
    <row r="120" spans="3:14">
      <c r="C120" s="256"/>
      <c r="D120" s="256"/>
      <c r="E120" s="256"/>
      <c r="F120" s="256"/>
      <c r="G120" s="256"/>
      <c r="H120" s="256"/>
      <c r="I120" s="256"/>
      <c r="J120" s="256"/>
      <c r="K120" s="256"/>
      <c r="L120" s="256"/>
      <c r="M120" s="256"/>
      <c r="N120" s="256"/>
    </row>
    <row r="121" spans="3:14">
      <c r="C121" s="256"/>
      <c r="D121" s="256"/>
      <c r="E121" s="256"/>
      <c r="F121" s="256"/>
      <c r="G121" s="256"/>
      <c r="H121" s="256"/>
      <c r="I121" s="256"/>
      <c r="J121" s="256"/>
      <c r="K121" s="256"/>
      <c r="L121" s="256"/>
      <c r="M121" s="256"/>
      <c r="N121" s="256"/>
    </row>
    <row r="122" spans="3:14">
      <c r="C122" s="256"/>
      <c r="D122" s="256"/>
      <c r="E122" s="271" t="s">
        <v>97</v>
      </c>
      <c r="F122" s="271"/>
      <c r="G122" s="271"/>
      <c r="H122" s="271"/>
      <c r="I122" s="271"/>
      <c r="J122" s="271"/>
      <c r="K122" s="271"/>
      <c r="L122" s="271"/>
      <c r="M122" s="271"/>
      <c r="N122" s="256"/>
    </row>
    <row r="123" spans="3:14" ht="13.5" thickBot="1">
      <c r="C123" s="256"/>
      <c r="D123" s="256"/>
      <c r="E123" s="271"/>
      <c r="F123" s="271"/>
      <c r="G123" s="271"/>
      <c r="H123" s="271"/>
      <c r="I123" s="271"/>
      <c r="J123" s="271"/>
      <c r="K123" s="271"/>
      <c r="L123" s="271"/>
      <c r="M123" s="271"/>
      <c r="N123" s="256"/>
    </row>
    <row r="124" spans="3:14">
      <c r="C124" s="256"/>
      <c r="D124" s="256"/>
      <c r="E124" s="272" t="s">
        <v>98</v>
      </c>
      <c r="F124" s="272"/>
      <c r="G124" s="271"/>
      <c r="H124" s="271"/>
      <c r="I124" s="271"/>
      <c r="J124" s="271"/>
      <c r="K124" s="271"/>
      <c r="L124" s="271"/>
      <c r="M124" s="271"/>
      <c r="N124" s="256"/>
    </row>
    <row r="125" spans="3:14">
      <c r="C125" s="256"/>
      <c r="D125" s="256"/>
      <c r="E125" s="273" t="s">
        <v>99</v>
      </c>
      <c r="F125" s="273">
        <v>0.86726353923094035</v>
      </c>
      <c r="G125" s="271"/>
      <c r="H125" s="271"/>
      <c r="I125" s="271"/>
      <c r="J125" s="271"/>
      <c r="K125" s="271"/>
      <c r="L125" s="271"/>
      <c r="M125" s="271"/>
      <c r="N125" s="256"/>
    </row>
    <row r="126" spans="3:14">
      <c r="C126" s="256"/>
      <c r="D126" s="256"/>
      <c r="E126" s="273" t="s">
        <v>100</v>
      </c>
      <c r="F126" s="273">
        <v>0.75214604647937677</v>
      </c>
      <c r="G126" s="271"/>
      <c r="H126" s="271"/>
      <c r="I126" s="271"/>
      <c r="J126" s="271"/>
      <c r="K126" s="271"/>
      <c r="L126" s="271"/>
      <c r="M126" s="271"/>
      <c r="N126" s="256"/>
    </row>
    <row r="127" spans="3:14">
      <c r="C127" s="256"/>
      <c r="D127" s="256"/>
      <c r="E127" s="273" t="s">
        <v>101</v>
      </c>
      <c r="F127" s="273">
        <v>0.69018255809922091</v>
      </c>
      <c r="G127" s="271"/>
      <c r="H127" s="271"/>
      <c r="I127" s="271"/>
      <c r="J127" s="271"/>
      <c r="K127" s="271"/>
      <c r="L127" s="271"/>
      <c r="M127" s="271"/>
      <c r="N127" s="256"/>
    </row>
    <row r="128" spans="3:14">
      <c r="C128" s="256"/>
      <c r="D128" s="256"/>
      <c r="E128" s="273" t="s">
        <v>102</v>
      </c>
      <c r="F128" s="273">
        <v>4000.8079994928312</v>
      </c>
      <c r="G128" s="271"/>
      <c r="H128" s="271"/>
      <c r="I128" s="271"/>
      <c r="J128" s="271"/>
      <c r="K128" s="271"/>
      <c r="L128" s="271"/>
      <c r="M128" s="271"/>
      <c r="N128" s="256"/>
    </row>
    <row r="129" spans="3:14" ht="13.5" thickBot="1">
      <c r="C129" s="256"/>
      <c r="D129" s="256"/>
      <c r="E129" s="274" t="s">
        <v>103</v>
      </c>
      <c r="F129" s="274">
        <v>11</v>
      </c>
      <c r="G129" s="271"/>
      <c r="H129" s="271"/>
      <c r="I129" s="271"/>
      <c r="J129" s="271"/>
      <c r="K129" s="271"/>
      <c r="L129" s="271"/>
      <c r="M129" s="271"/>
      <c r="N129" s="256"/>
    </row>
    <row r="130" spans="3:14">
      <c r="C130" s="256"/>
      <c r="D130" s="256"/>
      <c r="E130" s="271"/>
      <c r="F130" s="271"/>
      <c r="G130" s="271"/>
      <c r="H130" s="271"/>
      <c r="I130" s="271"/>
      <c r="J130" s="271"/>
      <c r="K130" s="271"/>
      <c r="L130" s="271"/>
      <c r="M130" s="271"/>
      <c r="N130" s="256"/>
    </row>
    <row r="131" spans="3:14" ht="13.5" thickBot="1">
      <c r="C131" s="256"/>
      <c r="D131" s="256"/>
      <c r="E131" s="271" t="s">
        <v>104</v>
      </c>
      <c r="F131" s="271"/>
      <c r="G131" s="271"/>
      <c r="H131" s="271"/>
      <c r="I131" s="271"/>
      <c r="J131" s="271"/>
      <c r="K131" s="271"/>
      <c r="L131" s="271"/>
      <c r="M131" s="271"/>
      <c r="N131" s="256"/>
    </row>
    <row r="132" spans="3:14">
      <c r="C132" s="256"/>
      <c r="D132" s="256"/>
      <c r="E132" s="275"/>
      <c r="F132" s="275" t="s">
        <v>105</v>
      </c>
      <c r="G132" s="275" t="s">
        <v>106</v>
      </c>
      <c r="H132" s="275" t="s">
        <v>107</v>
      </c>
      <c r="I132" s="275" t="s">
        <v>108</v>
      </c>
      <c r="J132" s="275" t="s">
        <v>109</v>
      </c>
      <c r="K132" s="271"/>
      <c r="L132" s="271"/>
      <c r="M132" s="271"/>
      <c r="N132" s="256"/>
    </row>
    <row r="133" spans="3:14">
      <c r="C133" s="256"/>
      <c r="D133" s="256"/>
      <c r="E133" s="273" t="s">
        <v>110</v>
      </c>
      <c r="F133" s="273">
        <v>2</v>
      </c>
      <c r="G133" s="273">
        <v>388590100.99137157</v>
      </c>
      <c r="H133" s="273">
        <v>194295050.49568579</v>
      </c>
      <c r="I133" s="273">
        <v>12.138536195135462</v>
      </c>
      <c r="J133" s="273">
        <v>3.7738393009935241E-3</v>
      </c>
      <c r="K133" s="271"/>
      <c r="L133" s="271"/>
      <c r="M133" s="271"/>
      <c r="N133" s="256"/>
    </row>
    <row r="134" spans="3:14">
      <c r="C134" s="256"/>
      <c r="D134" s="256"/>
      <c r="E134" s="273" t="s">
        <v>111</v>
      </c>
      <c r="F134" s="273">
        <v>8</v>
      </c>
      <c r="G134" s="273">
        <v>128051717.19044663</v>
      </c>
      <c r="H134" s="273">
        <v>16006464.648805829</v>
      </c>
      <c r="I134" s="273"/>
      <c r="J134" s="273"/>
      <c r="K134" s="271"/>
      <c r="L134" s="271"/>
      <c r="M134" s="271"/>
      <c r="N134" s="256"/>
    </row>
    <row r="135" spans="3:14" ht="13.5" thickBot="1">
      <c r="C135" s="256"/>
      <c r="D135" s="256"/>
      <c r="E135" s="274" t="s">
        <v>280</v>
      </c>
      <c r="F135" s="274">
        <v>10</v>
      </c>
      <c r="G135" s="274">
        <v>516641818.18181819</v>
      </c>
      <c r="H135" s="274"/>
      <c r="I135" s="274"/>
      <c r="J135" s="274"/>
      <c r="K135" s="271"/>
      <c r="L135" s="271"/>
      <c r="M135" s="271"/>
      <c r="N135" s="256"/>
    </row>
    <row r="136" spans="3:14" ht="13.5" thickBot="1">
      <c r="C136" s="256"/>
      <c r="D136" s="256"/>
      <c r="E136" s="271"/>
      <c r="F136" s="271"/>
      <c r="G136" s="271"/>
      <c r="H136" s="271"/>
      <c r="I136" s="271"/>
      <c r="J136" s="271"/>
      <c r="K136" s="271"/>
      <c r="L136" s="271"/>
      <c r="M136" s="271"/>
      <c r="N136" s="256"/>
    </row>
    <row r="137" spans="3:14">
      <c r="C137" s="256"/>
      <c r="D137" s="256"/>
      <c r="E137" s="275"/>
      <c r="F137" s="275" t="s">
        <v>112</v>
      </c>
      <c r="G137" s="275" t="s">
        <v>102</v>
      </c>
      <c r="H137" s="275" t="s">
        <v>113</v>
      </c>
      <c r="I137" s="275" t="s">
        <v>114</v>
      </c>
      <c r="J137" s="275" t="s">
        <v>115</v>
      </c>
      <c r="K137" s="275" t="s">
        <v>116</v>
      </c>
      <c r="L137" s="275" t="s">
        <v>117</v>
      </c>
      <c r="M137" s="275" t="s">
        <v>118</v>
      </c>
      <c r="N137" s="256"/>
    </row>
    <row r="138" spans="3:14">
      <c r="C138" s="256"/>
      <c r="D138" s="256"/>
      <c r="E138" s="273" t="s">
        <v>119</v>
      </c>
      <c r="F138" s="273">
        <v>-4961.3584430684459</v>
      </c>
      <c r="G138" s="273">
        <v>4254.9492346680709</v>
      </c>
      <c r="H138" s="273">
        <v>-1.1660205961201044</v>
      </c>
      <c r="I138" s="273">
        <v>0.2771893093748069</v>
      </c>
      <c r="J138" s="273">
        <v>-14773.288965190934</v>
      </c>
      <c r="K138" s="273">
        <v>4850.5720790540418</v>
      </c>
      <c r="L138" s="273">
        <v>-14773.288965190934</v>
      </c>
      <c r="M138" s="273">
        <v>4850.5720790540418</v>
      </c>
      <c r="N138" s="256"/>
    </row>
    <row r="139" spans="3:14">
      <c r="C139" s="256"/>
      <c r="D139" s="256"/>
      <c r="E139" s="273" t="s">
        <v>92</v>
      </c>
      <c r="F139" s="273">
        <v>1417.229821482523</v>
      </c>
      <c r="G139" s="273">
        <v>331.11843505248606</v>
      </c>
      <c r="H139" s="273">
        <v>4.2801296196567122</v>
      </c>
      <c r="I139" s="273">
        <v>2.6870353448900765E-3</v>
      </c>
      <c r="J139" s="273">
        <v>653.66934163995484</v>
      </c>
      <c r="K139" s="273">
        <v>2180.7903013250911</v>
      </c>
      <c r="L139" s="273">
        <v>653.66934163995484</v>
      </c>
      <c r="M139" s="273">
        <v>2180.7903013250911</v>
      </c>
      <c r="N139" s="256"/>
    </row>
    <row r="140" spans="3:14" ht="13.5" thickBot="1">
      <c r="C140" s="256"/>
      <c r="D140" s="256"/>
      <c r="E140" s="274" t="s">
        <v>93</v>
      </c>
      <c r="F140" s="274">
        <v>194.98152872564012</v>
      </c>
      <c r="G140" s="274">
        <v>137.45651528404514</v>
      </c>
      <c r="H140" s="274">
        <v>1.4184960845451611</v>
      </c>
      <c r="I140" s="274">
        <v>0.19380542098933784</v>
      </c>
      <c r="J140" s="274">
        <v>-121.99376366826127</v>
      </c>
      <c r="K140" s="274">
        <v>511.95682111954147</v>
      </c>
      <c r="L140" s="274">
        <v>-121.99376366826127</v>
      </c>
      <c r="M140" s="274">
        <v>511.95682111954147</v>
      </c>
      <c r="N140" s="256"/>
    </row>
    <row r="141" spans="3:14">
      <c r="C141" s="256"/>
      <c r="D141" s="256"/>
      <c r="E141" s="271"/>
      <c r="F141" s="271"/>
      <c r="G141" s="271"/>
      <c r="H141" s="271"/>
      <c r="I141" s="271"/>
      <c r="J141" s="271"/>
      <c r="K141" s="271"/>
      <c r="L141" s="271"/>
      <c r="M141" s="271"/>
      <c r="N141" s="256"/>
    </row>
    <row r="142" spans="3:14">
      <c r="C142" s="256"/>
      <c r="D142" s="256"/>
      <c r="E142" s="271"/>
      <c r="F142" s="271"/>
      <c r="G142" s="271"/>
      <c r="H142" s="271"/>
      <c r="I142" s="271"/>
      <c r="J142" s="271"/>
      <c r="K142" s="271"/>
      <c r="L142" s="271"/>
      <c r="M142" s="271"/>
      <c r="N142" s="256"/>
    </row>
  </sheetData>
  <mergeCells count="25">
    <mergeCell ref="AI40:AK40"/>
    <mergeCell ref="AD1:AE1"/>
    <mergeCell ref="X80:AB80"/>
    <mergeCell ref="A1:G1"/>
    <mergeCell ref="H1:Q1"/>
    <mergeCell ref="Z56:AB56"/>
    <mergeCell ref="Z1:AA1"/>
    <mergeCell ref="AB1:AC1"/>
    <mergeCell ref="Z40:AB40"/>
    <mergeCell ref="AP1:AQ1"/>
    <mergeCell ref="AJ1:AK1"/>
    <mergeCell ref="AL1:AM1"/>
    <mergeCell ref="Q80:U80"/>
    <mergeCell ref="AN1:AO1"/>
    <mergeCell ref="AF1:AG1"/>
    <mergeCell ref="AC56:AE56"/>
    <mergeCell ref="AF56:AH56"/>
    <mergeCell ref="AI56:AK56"/>
    <mergeCell ref="AC40:AE40"/>
    <mergeCell ref="R1:S1"/>
    <mergeCell ref="T1:U1"/>
    <mergeCell ref="V1:W1"/>
    <mergeCell ref="X1:Y1"/>
    <mergeCell ref="AH1:AI1"/>
    <mergeCell ref="AF40:AH40"/>
  </mergeCells>
  <phoneticPr fontId="17" type="noConversion"/>
  <pageMargins left="0.75" right="0.75" top="1" bottom="1" header="0.5" footer="0.5"/>
  <pageSetup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sheetPr codeName="Sheet10"/>
  <dimension ref="A1:N38"/>
  <sheetViews>
    <sheetView workbookViewId="0">
      <selection activeCell="F38" sqref="F38"/>
    </sheetView>
  </sheetViews>
  <sheetFormatPr defaultRowHeight="12.75"/>
  <cols>
    <col min="1" max="1" width="39.85546875" style="34" customWidth="1"/>
    <col min="2" max="16384" width="9.140625" style="34"/>
  </cols>
  <sheetData>
    <row r="1" spans="1:14" ht="32.25" customHeight="1">
      <c r="A1" s="224"/>
      <c r="B1" s="225"/>
      <c r="C1" s="720" t="s">
        <v>137</v>
      </c>
      <c r="D1" s="720"/>
      <c r="E1" s="720"/>
      <c r="F1" s="720" t="s">
        <v>64</v>
      </c>
      <c r="G1" s="720"/>
      <c r="H1" s="720"/>
      <c r="I1" s="720" t="s">
        <v>138</v>
      </c>
      <c r="J1" s="720"/>
      <c r="K1" s="720"/>
      <c r="L1" s="720" t="s">
        <v>139</v>
      </c>
      <c r="M1" s="720"/>
      <c r="N1" s="720"/>
    </row>
    <row r="2" spans="1:14" ht="38.25">
      <c r="A2" s="161" t="s">
        <v>145</v>
      </c>
      <c r="B2" s="161" t="s">
        <v>46</v>
      </c>
      <c r="C2" s="74" t="s">
        <v>162</v>
      </c>
      <c r="D2" s="74" t="s">
        <v>159</v>
      </c>
      <c r="E2" s="74" t="s">
        <v>163</v>
      </c>
      <c r="F2" s="74" t="s">
        <v>162</v>
      </c>
      <c r="G2" s="74" t="s">
        <v>159</v>
      </c>
      <c r="H2" s="74" t="s">
        <v>163</v>
      </c>
      <c r="I2" s="74" t="s">
        <v>162</v>
      </c>
      <c r="J2" s="74" t="s">
        <v>159</v>
      </c>
      <c r="K2" s="74" t="s">
        <v>163</v>
      </c>
      <c r="L2" s="74" t="s">
        <v>162</v>
      </c>
      <c r="M2" s="74" t="s">
        <v>159</v>
      </c>
      <c r="N2" s="74" t="s">
        <v>163</v>
      </c>
    </row>
    <row r="3" spans="1:14">
      <c r="A3" s="75">
        <v>1</v>
      </c>
      <c r="B3" s="75" t="s">
        <v>5</v>
      </c>
      <c r="C3" s="75"/>
      <c r="D3" s="75"/>
      <c r="E3" s="76"/>
      <c r="F3" s="75"/>
      <c r="G3" s="75"/>
      <c r="H3" s="76"/>
      <c r="I3" s="75"/>
      <c r="J3" s="75"/>
      <c r="K3" s="75"/>
      <c r="L3" s="75"/>
      <c r="M3" s="75"/>
      <c r="N3" s="76"/>
    </row>
    <row r="4" spans="1:14">
      <c r="A4" s="75">
        <v>2</v>
      </c>
      <c r="B4" s="75" t="s">
        <v>5</v>
      </c>
      <c r="C4" s="75"/>
      <c r="D4" s="75"/>
      <c r="E4" s="76"/>
      <c r="F4" s="75" t="s">
        <v>164</v>
      </c>
      <c r="G4" s="226">
        <v>442</v>
      </c>
      <c r="H4" s="76">
        <v>5.6</v>
      </c>
      <c r="I4" s="227">
        <v>6000</v>
      </c>
      <c r="J4" s="226">
        <v>470</v>
      </c>
      <c r="K4" s="75">
        <v>6.8</v>
      </c>
      <c r="L4" s="75"/>
      <c r="M4" s="75"/>
      <c r="N4" s="76"/>
    </row>
    <row r="5" spans="1:14">
      <c r="A5" s="75">
        <v>3</v>
      </c>
      <c r="B5" s="75" t="s">
        <v>5</v>
      </c>
      <c r="C5" s="227">
        <v>6292</v>
      </c>
      <c r="D5" s="226">
        <v>719</v>
      </c>
      <c r="E5" s="76">
        <v>4.2</v>
      </c>
      <c r="F5" s="75"/>
      <c r="G5" s="75"/>
      <c r="H5" s="76"/>
      <c r="I5" s="227">
        <v>6758</v>
      </c>
      <c r="J5" s="226">
        <v>773</v>
      </c>
      <c r="K5" s="75">
        <v>3.6</v>
      </c>
      <c r="L5" s="227">
        <v>2925</v>
      </c>
      <c r="M5" s="226">
        <v>334</v>
      </c>
      <c r="N5" s="76">
        <v>3</v>
      </c>
    </row>
    <row r="6" spans="1:14">
      <c r="A6" s="75">
        <v>4</v>
      </c>
      <c r="B6" s="75" t="s">
        <v>5</v>
      </c>
      <c r="C6" s="75"/>
      <c r="D6" s="75"/>
      <c r="E6" s="76"/>
      <c r="F6" s="75"/>
      <c r="G6" s="75"/>
      <c r="H6" s="76"/>
      <c r="I6" s="227">
        <v>25940</v>
      </c>
      <c r="J6" s="226">
        <v>2505</v>
      </c>
      <c r="K6" s="75">
        <v>1.3</v>
      </c>
      <c r="L6" s="75"/>
      <c r="M6" s="75"/>
      <c r="N6" s="76"/>
    </row>
    <row r="7" spans="1:14">
      <c r="A7" s="75">
        <v>5</v>
      </c>
      <c r="B7" s="75" t="s">
        <v>5</v>
      </c>
      <c r="C7" s="75"/>
      <c r="D7" s="75"/>
      <c r="E7" s="76"/>
      <c r="F7" s="75"/>
      <c r="G7" s="75"/>
      <c r="H7" s="76"/>
      <c r="I7" s="75"/>
      <c r="J7" s="75"/>
      <c r="K7" s="75"/>
      <c r="L7" s="75">
        <v>530</v>
      </c>
      <c r="M7" s="226">
        <v>47</v>
      </c>
      <c r="N7" s="76">
        <v>2</v>
      </c>
    </row>
    <row r="8" spans="1:14">
      <c r="A8" s="75">
        <v>6</v>
      </c>
      <c r="B8" s="75" t="s">
        <v>5</v>
      </c>
      <c r="C8" s="227">
        <v>43271</v>
      </c>
      <c r="D8" s="226">
        <v>4763</v>
      </c>
      <c r="E8" s="76">
        <v>0.6</v>
      </c>
      <c r="F8" s="75"/>
      <c r="G8" s="75"/>
      <c r="H8" s="76"/>
      <c r="I8" s="227">
        <v>23940</v>
      </c>
      <c r="J8" s="226">
        <v>2635</v>
      </c>
      <c r="K8" s="75">
        <v>1.2</v>
      </c>
      <c r="L8" s="227">
        <v>3336</v>
      </c>
      <c r="M8" s="226">
        <v>367</v>
      </c>
      <c r="N8" s="76">
        <v>4.4000000000000004</v>
      </c>
    </row>
    <row r="9" spans="1:14">
      <c r="A9" s="75">
        <v>7</v>
      </c>
      <c r="B9" s="75" t="s">
        <v>5</v>
      </c>
      <c r="C9" s="227">
        <v>13321</v>
      </c>
      <c r="D9" s="226">
        <v>1768</v>
      </c>
      <c r="E9" s="76">
        <v>2.6</v>
      </c>
      <c r="F9" s="75"/>
      <c r="G9" s="75"/>
      <c r="H9" s="76"/>
      <c r="I9" s="75"/>
      <c r="J9" s="75"/>
      <c r="K9" s="75"/>
      <c r="L9" s="75"/>
      <c r="M9" s="75"/>
      <c r="N9" s="76"/>
    </row>
    <row r="10" spans="1:14">
      <c r="A10" s="75">
        <v>8</v>
      </c>
      <c r="B10" s="75" t="s">
        <v>5</v>
      </c>
      <c r="C10" s="75"/>
      <c r="D10" s="75"/>
      <c r="E10" s="76"/>
      <c r="F10" s="75"/>
      <c r="G10" s="75"/>
      <c r="H10" s="76"/>
      <c r="I10" s="227">
        <v>12750</v>
      </c>
      <c r="J10" s="226">
        <v>1243</v>
      </c>
      <c r="K10" s="75">
        <v>2.6</v>
      </c>
      <c r="L10" s="75"/>
      <c r="M10" s="75"/>
      <c r="N10" s="76"/>
    </row>
    <row r="11" spans="1:14">
      <c r="A11" s="75">
        <v>9</v>
      </c>
      <c r="B11" s="75" t="s">
        <v>5</v>
      </c>
      <c r="C11" s="227">
        <v>2860</v>
      </c>
      <c r="D11" s="226">
        <v>304</v>
      </c>
      <c r="E11" s="76">
        <v>10</v>
      </c>
      <c r="F11" s="75" t="s">
        <v>164</v>
      </c>
      <c r="G11" s="226">
        <v>300</v>
      </c>
      <c r="H11" s="76">
        <v>7</v>
      </c>
      <c r="I11" s="75"/>
      <c r="J11" s="75"/>
      <c r="K11" s="75"/>
      <c r="L11" s="75"/>
      <c r="M11" s="75"/>
      <c r="N11" s="76"/>
    </row>
    <row r="12" spans="1:14">
      <c r="A12" s="75">
        <v>10</v>
      </c>
      <c r="B12" s="75" t="s">
        <v>5</v>
      </c>
      <c r="C12" s="75"/>
      <c r="D12" s="75"/>
      <c r="E12" s="76"/>
      <c r="F12" s="75"/>
      <c r="G12" s="75"/>
      <c r="H12" s="76"/>
      <c r="I12" s="227">
        <v>8000</v>
      </c>
      <c r="J12" s="226">
        <v>1024</v>
      </c>
      <c r="K12" s="75">
        <v>3.5</v>
      </c>
      <c r="L12" s="75">
        <v>880</v>
      </c>
      <c r="M12" s="226">
        <v>108</v>
      </c>
      <c r="N12" s="76">
        <v>10</v>
      </c>
    </row>
    <row r="13" spans="1:14">
      <c r="A13" s="75">
        <v>11</v>
      </c>
      <c r="B13" s="75" t="s">
        <v>5</v>
      </c>
      <c r="C13" s="75"/>
      <c r="D13" s="75"/>
      <c r="E13" s="76"/>
      <c r="F13" s="75"/>
      <c r="G13" s="75"/>
      <c r="H13" s="76"/>
      <c r="I13" s="75"/>
      <c r="J13" s="75"/>
      <c r="K13" s="75"/>
      <c r="L13" s="227">
        <v>4060</v>
      </c>
      <c r="M13" s="226">
        <v>382</v>
      </c>
      <c r="N13" s="76">
        <v>6.7</v>
      </c>
    </row>
    <row r="14" spans="1:14">
      <c r="A14" s="75">
        <v>12</v>
      </c>
      <c r="B14" s="75" t="s">
        <v>5</v>
      </c>
      <c r="C14" s="75"/>
      <c r="D14" s="75"/>
      <c r="E14" s="76"/>
      <c r="F14" s="75"/>
      <c r="G14" s="75"/>
      <c r="H14" s="76"/>
      <c r="I14" s="75"/>
      <c r="J14" s="75"/>
      <c r="K14" s="75"/>
      <c r="L14" s="227">
        <v>4780</v>
      </c>
      <c r="M14" s="226">
        <v>495</v>
      </c>
      <c r="N14" s="76">
        <v>4.5999999999999996</v>
      </c>
    </row>
    <row r="15" spans="1:14">
      <c r="A15" s="75">
        <v>13</v>
      </c>
      <c r="B15" s="75" t="s">
        <v>5</v>
      </c>
      <c r="C15" s="227">
        <v>3314</v>
      </c>
      <c r="D15" s="226">
        <v>332</v>
      </c>
      <c r="E15" s="76">
        <v>8.6999999999999993</v>
      </c>
      <c r="F15" s="75"/>
      <c r="G15" s="75"/>
      <c r="H15" s="76"/>
      <c r="I15" s="227">
        <v>7848</v>
      </c>
      <c r="J15" s="226">
        <v>786</v>
      </c>
      <c r="K15" s="75">
        <v>3.8</v>
      </c>
      <c r="L15" s="227">
        <v>2032</v>
      </c>
      <c r="M15" s="226">
        <v>204</v>
      </c>
      <c r="N15" s="76">
        <v>3.9</v>
      </c>
    </row>
    <row r="16" spans="1:14">
      <c r="A16" s="75">
        <v>14</v>
      </c>
      <c r="B16" s="75" t="s">
        <v>5</v>
      </c>
      <c r="C16" s="227">
        <v>9619</v>
      </c>
      <c r="D16" s="226">
        <v>1090</v>
      </c>
      <c r="E16" s="76">
        <v>2.7</v>
      </c>
      <c r="F16" s="75"/>
      <c r="G16" s="75"/>
      <c r="H16" s="76"/>
      <c r="I16" s="227">
        <v>3833</v>
      </c>
      <c r="J16" s="226">
        <v>434</v>
      </c>
      <c r="K16" s="75">
        <v>6.9</v>
      </c>
      <c r="L16" s="75"/>
      <c r="M16" s="75"/>
      <c r="N16" s="76"/>
    </row>
    <row r="17" spans="1:14">
      <c r="A17" s="75">
        <v>15</v>
      </c>
      <c r="B17" s="75" t="s">
        <v>5</v>
      </c>
      <c r="C17" s="75"/>
      <c r="D17" s="75"/>
      <c r="E17" s="76"/>
      <c r="F17" s="75"/>
      <c r="G17" s="75"/>
      <c r="H17" s="76"/>
      <c r="I17" s="75"/>
      <c r="J17" s="75"/>
      <c r="K17" s="75"/>
      <c r="L17" s="75"/>
      <c r="M17" s="75"/>
      <c r="N17" s="76"/>
    </row>
    <row r="18" spans="1:14">
      <c r="A18" s="75">
        <v>16</v>
      </c>
      <c r="B18" s="75" t="s">
        <v>5</v>
      </c>
      <c r="C18" s="75"/>
      <c r="D18" s="75"/>
      <c r="E18" s="76"/>
      <c r="F18" s="75"/>
      <c r="G18" s="75"/>
      <c r="H18" s="76"/>
      <c r="I18" s="75"/>
      <c r="J18" s="75"/>
      <c r="K18" s="75"/>
      <c r="L18" s="227">
        <v>9600</v>
      </c>
      <c r="M18" s="226">
        <v>722</v>
      </c>
      <c r="N18" s="76">
        <v>4.5</v>
      </c>
    </row>
    <row r="19" spans="1:14">
      <c r="A19" s="75">
        <v>17</v>
      </c>
      <c r="B19" s="75" t="s">
        <v>5</v>
      </c>
      <c r="C19" s="227">
        <v>18500</v>
      </c>
      <c r="D19" s="226">
        <v>2000</v>
      </c>
      <c r="E19" s="76">
        <v>3</v>
      </c>
      <c r="F19" s="75"/>
      <c r="G19" s="75"/>
      <c r="H19" s="76"/>
      <c r="I19" s="75"/>
      <c r="J19" s="75"/>
      <c r="K19" s="75"/>
      <c r="L19" s="227">
        <v>4017</v>
      </c>
      <c r="M19" s="226">
        <v>400</v>
      </c>
      <c r="N19" s="76">
        <v>5</v>
      </c>
    </row>
    <row r="20" spans="1:14" ht="13.5" thickBot="1">
      <c r="A20" s="192">
        <v>18</v>
      </c>
      <c r="B20" s="192" t="s">
        <v>5</v>
      </c>
      <c r="C20" s="192"/>
      <c r="D20" s="192"/>
      <c r="E20" s="228"/>
      <c r="F20" s="192"/>
      <c r="G20" s="192"/>
      <c r="H20" s="228"/>
      <c r="I20" s="192"/>
      <c r="J20" s="192"/>
      <c r="K20" s="192"/>
      <c r="L20" s="192">
        <v>588</v>
      </c>
      <c r="M20" s="229">
        <v>65</v>
      </c>
      <c r="N20" s="228">
        <v>4.9000000000000004</v>
      </c>
    </row>
    <row r="21" spans="1:14" ht="13.5" thickBot="1">
      <c r="A21" s="431" t="s">
        <v>260</v>
      </c>
      <c r="B21" s="432"/>
      <c r="C21" s="433">
        <f>10/18</f>
        <v>0.55555555555555558</v>
      </c>
      <c r="D21" s="434"/>
      <c r="E21" s="435"/>
      <c r="F21" s="433">
        <f>16/18</f>
        <v>0.88888888888888884</v>
      </c>
      <c r="G21" s="434"/>
      <c r="H21" s="435"/>
      <c r="I21" s="433">
        <f>10/18</f>
        <v>0.55555555555555558</v>
      </c>
      <c r="J21" s="434"/>
      <c r="K21" s="434"/>
      <c r="L21" s="433">
        <f>8/18</f>
        <v>0.44444444444444442</v>
      </c>
      <c r="M21" s="436"/>
      <c r="N21" s="437"/>
    </row>
    <row r="22" spans="1:14">
      <c r="A22" s="224"/>
      <c r="B22" s="225"/>
      <c r="C22" s="720" t="s">
        <v>137</v>
      </c>
      <c r="D22" s="720"/>
      <c r="E22" s="720"/>
      <c r="F22" s="720" t="s">
        <v>64</v>
      </c>
      <c r="G22" s="720"/>
      <c r="H22" s="720"/>
      <c r="I22" s="720" t="s">
        <v>138</v>
      </c>
      <c r="J22" s="720"/>
      <c r="K22" s="720"/>
      <c r="L22" s="720" t="s">
        <v>139</v>
      </c>
      <c r="M22" s="720"/>
      <c r="N22" s="720"/>
    </row>
    <row r="23" spans="1:14" ht="38.25">
      <c r="A23" s="161" t="s">
        <v>145</v>
      </c>
      <c r="B23" s="161" t="s">
        <v>46</v>
      </c>
      <c r="C23" s="74" t="s">
        <v>162</v>
      </c>
      <c r="D23" s="74" t="s">
        <v>159</v>
      </c>
      <c r="E23" s="74" t="s">
        <v>163</v>
      </c>
      <c r="F23" s="74" t="s">
        <v>162</v>
      </c>
      <c r="G23" s="74" t="s">
        <v>159</v>
      </c>
      <c r="H23" s="74" t="s">
        <v>163</v>
      </c>
      <c r="I23" s="74" t="s">
        <v>162</v>
      </c>
      <c r="J23" s="74" t="s">
        <v>159</v>
      </c>
      <c r="K23" s="74" t="s">
        <v>163</v>
      </c>
      <c r="L23" s="74" t="s">
        <v>162</v>
      </c>
      <c r="M23" s="74" t="s">
        <v>159</v>
      </c>
      <c r="N23" s="74" t="s">
        <v>163</v>
      </c>
    </row>
    <row r="24" spans="1:14">
      <c r="A24" s="180">
        <v>1</v>
      </c>
      <c r="B24" s="180" t="s">
        <v>130</v>
      </c>
      <c r="C24" s="230">
        <v>6300</v>
      </c>
      <c r="D24" s="231">
        <v>610</v>
      </c>
      <c r="E24" s="232">
        <v>4</v>
      </c>
      <c r="F24" s="180"/>
      <c r="G24" s="180"/>
      <c r="H24" s="232"/>
      <c r="I24" s="230">
        <v>5000</v>
      </c>
      <c r="J24" s="231">
        <v>490</v>
      </c>
      <c r="K24" s="180">
        <v>4</v>
      </c>
      <c r="L24" s="180"/>
      <c r="M24" s="180"/>
      <c r="N24" s="232"/>
    </row>
    <row r="25" spans="1:14">
      <c r="A25" s="75">
        <v>2</v>
      </c>
      <c r="B25" s="75" t="s">
        <v>130</v>
      </c>
      <c r="C25" s="227">
        <v>3625</v>
      </c>
      <c r="D25" s="226">
        <v>357</v>
      </c>
      <c r="E25" s="76">
        <v>7</v>
      </c>
      <c r="F25" s="227">
        <v>6562</v>
      </c>
      <c r="G25" s="226">
        <v>647</v>
      </c>
      <c r="H25" s="76">
        <v>4.5</v>
      </c>
      <c r="I25" s="227">
        <v>5826</v>
      </c>
      <c r="J25" s="226">
        <v>575</v>
      </c>
      <c r="K25" s="75">
        <v>4.3</v>
      </c>
      <c r="L25" s="75"/>
      <c r="M25" s="75"/>
      <c r="N25" s="76"/>
    </row>
    <row r="26" spans="1:14">
      <c r="A26" s="75">
        <v>3</v>
      </c>
      <c r="B26" s="75" t="s">
        <v>130</v>
      </c>
      <c r="C26" s="75"/>
      <c r="D26" s="75"/>
      <c r="E26" s="76"/>
      <c r="F26" s="75"/>
      <c r="G26" s="75"/>
      <c r="H26" s="76"/>
      <c r="I26" s="227">
        <v>11972</v>
      </c>
      <c r="J26" s="226">
        <v>1265</v>
      </c>
      <c r="K26" s="75">
        <v>2.5</v>
      </c>
      <c r="L26" s="227">
        <v>8269</v>
      </c>
      <c r="M26" s="226">
        <v>874</v>
      </c>
      <c r="N26" s="76">
        <v>2.2000000000000002</v>
      </c>
    </row>
    <row r="27" spans="1:14">
      <c r="A27" s="75">
        <v>4</v>
      </c>
      <c r="B27" s="75" t="s">
        <v>130</v>
      </c>
      <c r="C27" s="227">
        <v>6405</v>
      </c>
      <c r="D27" s="226">
        <v>816</v>
      </c>
      <c r="E27" s="76">
        <v>4.8</v>
      </c>
      <c r="F27" s="75"/>
      <c r="G27" s="75"/>
      <c r="H27" s="76"/>
      <c r="I27" s="75"/>
      <c r="J27" s="75"/>
      <c r="K27" s="75"/>
      <c r="L27" s="227">
        <v>5059</v>
      </c>
      <c r="M27" s="226">
        <v>645</v>
      </c>
      <c r="N27" s="76">
        <v>2.7</v>
      </c>
    </row>
    <row r="28" spans="1:14">
      <c r="A28" s="75">
        <v>5</v>
      </c>
      <c r="B28" s="75" t="s">
        <v>130</v>
      </c>
      <c r="C28" s="227">
        <v>10360</v>
      </c>
      <c r="D28" s="226">
        <v>800</v>
      </c>
      <c r="E28" s="76">
        <v>5</v>
      </c>
      <c r="F28" s="75"/>
      <c r="G28" s="75"/>
      <c r="H28" s="76"/>
      <c r="I28" s="75"/>
      <c r="J28" s="75"/>
      <c r="K28" s="75"/>
      <c r="L28" s="227">
        <v>2480</v>
      </c>
      <c r="M28" s="226">
        <v>198</v>
      </c>
      <c r="N28" s="76">
        <v>2</v>
      </c>
    </row>
    <row r="29" spans="1:14">
      <c r="A29" s="75">
        <v>6</v>
      </c>
      <c r="B29" s="75" t="s">
        <v>130</v>
      </c>
      <c r="C29" s="227">
        <v>6481</v>
      </c>
      <c r="D29" s="226">
        <v>649</v>
      </c>
      <c r="E29" s="76">
        <v>4.5999999999999996</v>
      </c>
      <c r="F29" s="75"/>
      <c r="G29" s="75"/>
      <c r="H29" s="76"/>
      <c r="I29" s="227">
        <v>6752</v>
      </c>
      <c r="J29" s="226">
        <v>676</v>
      </c>
      <c r="K29" s="75">
        <v>2.2000000000000002</v>
      </c>
      <c r="L29" s="227">
        <v>6202</v>
      </c>
      <c r="M29" s="226">
        <v>621</v>
      </c>
      <c r="N29" s="76">
        <v>2.2000000000000002</v>
      </c>
    </row>
    <row r="30" spans="1:14">
      <c r="A30" s="75">
        <v>7</v>
      </c>
      <c r="B30" s="75" t="s">
        <v>130</v>
      </c>
      <c r="C30" s="227">
        <v>7000</v>
      </c>
      <c r="D30" s="226">
        <v>540</v>
      </c>
      <c r="E30" s="76">
        <v>6.5</v>
      </c>
      <c r="F30" s="75"/>
      <c r="G30" s="75"/>
      <c r="H30" s="76"/>
      <c r="I30" s="227">
        <v>5040</v>
      </c>
      <c r="J30" s="226">
        <v>386</v>
      </c>
      <c r="K30" s="75">
        <v>5</v>
      </c>
      <c r="L30" s="75"/>
      <c r="M30" s="75"/>
      <c r="N30" s="76"/>
    </row>
    <row r="31" spans="1:14">
      <c r="A31" s="75">
        <v>8</v>
      </c>
      <c r="B31" s="75" t="s">
        <v>130</v>
      </c>
      <c r="C31" s="75"/>
      <c r="D31" s="75"/>
      <c r="E31" s="76"/>
      <c r="F31" s="227">
        <v>5000</v>
      </c>
      <c r="G31" s="226">
        <v>511</v>
      </c>
      <c r="H31" s="76">
        <v>5.5</v>
      </c>
      <c r="I31" s="75"/>
      <c r="J31" s="75"/>
      <c r="K31" s="75"/>
      <c r="L31" s="227">
        <v>4860</v>
      </c>
      <c r="M31" s="226">
        <v>486</v>
      </c>
      <c r="N31" s="76">
        <v>10</v>
      </c>
    </row>
    <row r="32" spans="1:14">
      <c r="A32" s="75">
        <v>9</v>
      </c>
      <c r="B32" s="75" t="s">
        <v>130</v>
      </c>
      <c r="C32" s="227">
        <v>14729</v>
      </c>
      <c r="D32" s="226">
        <v>1193</v>
      </c>
      <c r="E32" s="76">
        <v>2.1</v>
      </c>
      <c r="F32" s="75"/>
      <c r="G32" s="75"/>
      <c r="H32" s="76"/>
      <c r="I32" s="75"/>
      <c r="J32" s="75"/>
      <c r="K32" s="75"/>
      <c r="L32" s="75">
        <v>906</v>
      </c>
      <c r="M32" s="226">
        <v>73</v>
      </c>
      <c r="N32" s="76">
        <v>4.9000000000000004</v>
      </c>
    </row>
    <row r="33" spans="1:14">
      <c r="A33" s="75">
        <v>10</v>
      </c>
      <c r="B33" s="75" t="s">
        <v>130</v>
      </c>
      <c r="C33" s="227">
        <v>6559</v>
      </c>
      <c r="D33" s="226">
        <v>662</v>
      </c>
      <c r="E33" s="76">
        <v>5.0999999999999996</v>
      </c>
      <c r="F33" s="75"/>
      <c r="G33" s="75"/>
      <c r="H33" s="76"/>
      <c r="I33" s="75"/>
      <c r="J33" s="75"/>
      <c r="K33" s="75"/>
      <c r="L33" s="75"/>
      <c r="M33" s="75"/>
      <c r="N33" s="76"/>
    </row>
    <row r="34" spans="1:14">
      <c r="A34" s="75">
        <v>11</v>
      </c>
      <c r="B34" s="75" t="s">
        <v>130</v>
      </c>
      <c r="C34" s="227">
        <v>7770</v>
      </c>
      <c r="D34" s="226">
        <v>911</v>
      </c>
      <c r="E34" s="76">
        <v>3.1</v>
      </c>
      <c r="F34" s="75"/>
      <c r="G34" s="75"/>
      <c r="H34" s="76"/>
      <c r="I34" s="75"/>
      <c r="J34" s="75"/>
      <c r="K34" s="75"/>
      <c r="L34" s="227">
        <v>5645</v>
      </c>
      <c r="M34" s="226">
        <v>662</v>
      </c>
      <c r="N34" s="76">
        <v>2.9</v>
      </c>
    </row>
    <row r="35" spans="1:14">
      <c r="A35" s="75">
        <v>12</v>
      </c>
      <c r="B35" s="75" t="s">
        <v>130</v>
      </c>
      <c r="C35" s="227">
        <v>13705</v>
      </c>
      <c r="D35" s="226">
        <v>1531</v>
      </c>
      <c r="E35" s="76">
        <v>2.2000000000000002</v>
      </c>
      <c r="F35" s="75"/>
      <c r="G35" s="75"/>
      <c r="H35" s="76"/>
      <c r="I35" s="75"/>
      <c r="J35" s="75"/>
      <c r="K35" s="75"/>
      <c r="L35" s="227">
        <v>1229</v>
      </c>
      <c r="M35" s="226">
        <v>148</v>
      </c>
      <c r="N35" s="76">
        <v>4.3</v>
      </c>
    </row>
    <row r="36" spans="1:14">
      <c r="A36" s="75">
        <v>13</v>
      </c>
      <c r="B36" s="75" t="s">
        <v>130</v>
      </c>
      <c r="C36" s="227">
        <v>7183</v>
      </c>
      <c r="D36" s="226">
        <v>800</v>
      </c>
      <c r="E36" s="76">
        <v>4.2</v>
      </c>
      <c r="F36" s="75"/>
      <c r="G36" s="75"/>
      <c r="H36" s="76"/>
      <c r="I36" s="75"/>
      <c r="J36" s="75"/>
      <c r="K36" s="75"/>
      <c r="L36" s="227">
        <v>1086</v>
      </c>
      <c r="M36" s="226">
        <v>121</v>
      </c>
      <c r="N36" s="76">
        <v>6.6</v>
      </c>
    </row>
    <row r="37" spans="1:14" ht="13.5" thickBot="1">
      <c r="A37" s="152">
        <v>14</v>
      </c>
      <c r="B37" s="152" t="s">
        <v>130</v>
      </c>
      <c r="C37" s="153">
        <v>2472</v>
      </c>
      <c r="D37" s="430">
        <v>309</v>
      </c>
      <c r="E37" s="429">
        <v>11</v>
      </c>
      <c r="F37" s="152"/>
      <c r="G37" s="152"/>
      <c r="H37" s="429"/>
      <c r="I37" s="153">
        <v>2150</v>
      </c>
      <c r="J37" s="430">
        <v>268</v>
      </c>
      <c r="K37" s="152">
        <v>11.2</v>
      </c>
      <c r="L37" s="153">
        <v>1913</v>
      </c>
      <c r="M37" s="430">
        <v>239</v>
      </c>
      <c r="N37" s="429">
        <v>2</v>
      </c>
    </row>
    <row r="38" spans="1:14" ht="13.5" thickBot="1">
      <c r="A38" s="431" t="s">
        <v>260</v>
      </c>
      <c r="B38" s="432"/>
      <c r="C38" s="433">
        <f>2/14</f>
        <v>0.14285714285714285</v>
      </c>
      <c r="D38" s="434"/>
      <c r="E38" s="435"/>
      <c r="F38" s="433">
        <f>12/14</f>
        <v>0.8571428571428571</v>
      </c>
      <c r="G38" s="434"/>
      <c r="H38" s="435"/>
      <c r="I38" s="433">
        <f>8/14</f>
        <v>0.5714285714285714</v>
      </c>
      <c r="J38" s="434"/>
      <c r="K38" s="434"/>
      <c r="L38" s="433">
        <f>3/14</f>
        <v>0.21428571428571427</v>
      </c>
      <c r="M38" s="436"/>
      <c r="N38" s="437"/>
    </row>
  </sheetData>
  <mergeCells count="8">
    <mergeCell ref="C22:E22"/>
    <mergeCell ref="F22:H22"/>
    <mergeCell ref="I22:K22"/>
    <mergeCell ref="L22:N22"/>
    <mergeCell ref="L1:N1"/>
    <mergeCell ref="C1:E1"/>
    <mergeCell ref="F1:H1"/>
    <mergeCell ref="I1:K1"/>
  </mergeCells>
  <phoneticPr fontId="17"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sheetPr codeName="Sheet11"/>
  <dimension ref="A1:AL81"/>
  <sheetViews>
    <sheetView workbookViewId="0">
      <selection activeCell="K34" sqref="K34"/>
    </sheetView>
  </sheetViews>
  <sheetFormatPr defaultRowHeight="12.75"/>
  <cols>
    <col min="1" max="1" width="9.140625" style="34"/>
    <col min="2" max="2" width="7.42578125" style="34" customWidth="1"/>
    <col min="3" max="3" width="14.5703125" style="34" customWidth="1"/>
    <col min="4" max="4" width="11.85546875" style="34" customWidth="1"/>
    <col min="5" max="5" width="12.7109375" style="34" customWidth="1"/>
    <col min="6" max="6" width="2.5703125" style="34" customWidth="1"/>
    <col min="7" max="10" width="9.140625" style="34"/>
    <col min="11" max="11" width="11.28515625" style="34" customWidth="1"/>
    <col min="12" max="12" width="2.140625" style="34" customWidth="1"/>
    <col min="13" max="13" width="10.42578125" style="34" customWidth="1"/>
    <col min="14" max="16" width="9.140625" style="34"/>
    <col min="17" max="17" width="11.7109375" style="34" customWidth="1"/>
    <col min="18" max="18" width="1.7109375" style="34" customWidth="1"/>
    <col min="19" max="19" width="9.140625" style="34"/>
    <col min="20" max="20" width="13.85546875" style="34" customWidth="1"/>
    <col min="21" max="23" width="9.140625" style="34"/>
    <col min="24" max="24" width="2.28515625" style="34" customWidth="1"/>
    <col min="25" max="25" width="15.140625" style="34" customWidth="1"/>
    <col min="26" max="26" width="22.5703125" style="34" customWidth="1"/>
    <col min="27" max="27" width="11.28515625" style="34" bestFit="1" customWidth="1"/>
    <col min="28" max="31" width="13.5703125" style="34" customWidth="1"/>
    <col min="32" max="34" width="11.5703125" style="34" customWidth="1"/>
    <col min="35" max="35" width="13.7109375" style="34" customWidth="1"/>
    <col min="36" max="36" width="12.42578125" style="34" customWidth="1"/>
    <col min="37" max="16384" width="9.140625" style="34"/>
  </cols>
  <sheetData>
    <row r="1" spans="1:38" ht="47.25" customHeight="1">
      <c r="Y1"/>
      <c r="Z1"/>
      <c r="AA1"/>
      <c r="AB1"/>
      <c r="AC1"/>
      <c r="AD1"/>
      <c r="AE1"/>
      <c r="AF1"/>
      <c r="AG1"/>
      <c r="AH1"/>
      <c r="AI1"/>
      <c r="AJ1"/>
      <c r="AK1"/>
      <c r="AL1"/>
    </row>
    <row r="2" spans="1:38" ht="63.75">
      <c r="A2" s="36" t="s">
        <v>166</v>
      </c>
      <c r="B2" s="36" t="s">
        <v>0</v>
      </c>
      <c r="C2" s="36" t="s">
        <v>167</v>
      </c>
      <c r="D2" s="36" t="s">
        <v>168</v>
      </c>
      <c r="E2" s="36" t="s">
        <v>169</v>
      </c>
      <c r="F2" s="75"/>
      <c r="G2" s="36" t="s">
        <v>166</v>
      </c>
      <c r="H2" s="36" t="s">
        <v>0</v>
      </c>
      <c r="I2" s="36" t="s">
        <v>167</v>
      </c>
      <c r="J2" s="36" t="s">
        <v>168</v>
      </c>
      <c r="K2" s="36" t="s">
        <v>169</v>
      </c>
      <c r="L2" s="75"/>
      <c r="M2" s="36" t="s">
        <v>166</v>
      </c>
      <c r="N2" s="36" t="s">
        <v>0</v>
      </c>
      <c r="O2" s="36" t="s">
        <v>167</v>
      </c>
      <c r="P2" s="36" t="s">
        <v>168</v>
      </c>
      <c r="Q2" s="36" t="s">
        <v>169</v>
      </c>
      <c r="R2" s="75"/>
      <c r="S2" s="36" t="s">
        <v>166</v>
      </c>
      <c r="T2" s="36" t="s">
        <v>0</v>
      </c>
      <c r="U2" s="36" t="s">
        <v>167</v>
      </c>
      <c r="V2" s="36" t="s">
        <v>168</v>
      </c>
      <c r="W2" s="36" t="s">
        <v>169</v>
      </c>
      <c r="Y2"/>
      <c r="Z2"/>
      <c r="AA2"/>
      <c r="AB2"/>
      <c r="AC2"/>
      <c r="AD2"/>
      <c r="AE2"/>
      <c r="AF2"/>
      <c r="AG2"/>
      <c r="AH2"/>
      <c r="AI2"/>
      <c r="AJ2"/>
      <c r="AK2"/>
      <c r="AL2"/>
    </row>
    <row r="3" spans="1:38">
      <c r="A3" s="75">
        <v>1977</v>
      </c>
      <c r="B3" s="36" t="s">
        <v>4</v>
      </c>
      <c r="C3" s="36">
        <v>141</v>
      </c>
      <c r="D3" s="36">
        <v>11348</v>
      </c>
      <c r="E3" s="233">
        <v>1600</v>
      </c>
      <c r="F3" s="75"/>
      <c r="G3" s="75">
        <v>1977</v>
      </c>
      <c r="H3" s="36" t="s">
        <v>28</v>
      </c>
      <c r="I3" s="36">
        <v>26</v>
      </c>
      <c r="J3" s="36">
        <v>11385</v>
      </c>
      <c r="K3" s="36">
        <v>296</v>
      </c>
      <c r="L3" s="75"/>
      <c r="M3" s="75">
        <v>1977</v>
      </c>
      <c r="N3" s="36" t="s">
        <v>29</v>
      </c>
      <c r="O3" s="36">
        <v>93</v>
      </c>
      <c r="P3" s="36">
        <v>11312</v>
      </c>
      <c r="Q3" s="36">
        <v>1052</v>
      </c>
      <c r="R3" s="75"/>
      <c r="S3" s="75">
        <v>1977</v>
      </c>
      <c r="T3" s="36" t="s">
        <v>30</v>
      </c>
      <c r="U3" s="36">
        <v>184</v>
      </c>
      <c r="V3" s="36">
        <v>13853</v>
      </c>
      <c r="W3" s="36">
        <v>2549</v>
      </c>
      <c r="Y3"/>
      <c r="Z3"/>
      <c r="AA3"/>
      <c r="AB3"/>
      <c r="AC3"/>
      <c r="AD3"/>
      <c r="AE3"/>
      <c r="AF3"/>
      <c r="AG3"/>
      <c r="AH3"/>
      <c r="AI3"/>
      <c r="AJ3"/>
      <c r="AK3"/>
      <c r="AL3"/>
    </row>
    <row r="4" spans="1:38">
      <c r="A4" s="75">
        <v>1978</v>
      </c>
      <c r="B4" s="36" t="s">
        <v>4</v>
      </c>
      <c r="C4" s="36">
        <v>140</v>
      </c>
      <c r="D4" s="36">
        <v>11664</v>
      </c>
      <c r="E4" s="233">
        <v>1633</v>
      </c>
      <c r="F4" s="75"/>
      <c r="G4" s="75">
        <v>1978</v>
      </c>
      <c r="H4" s="36" t="s">
        <v>28</v>
      </c>
      <c r="I4" s="36">
        <v>28</v>
      </c>
      <c r="J4" s="36">
        <v>10929</v>
      </c>
      <c r="K4" s="36">
        <v>306</v>
      </c>
      <c r="L4" s="75"/>
      <c r="M4" s="75">
        <v>1978</v>
      </c>
      <c r="N4" s="36" t="s">
        <v>29</v>
      </c>
      <c r="O4" s="36">
        <v>93</v>
      </c>
      <c r="P4" s="36">
        <v>11452</v>
      </c>
      <c r="Q4" s="36">
        <v>1065</v>
      </c>
      <c r="R4" s="75"/>
      <c r="S4" s="75">
        <v>1978</v>
      </c>
      <c r="T4" s="36" t="s">
        <v>30</v>
      </c>
      <c r="U4" s="36">
        <v>193</v>
      </c>
      <c r="V4" s="36">
        <v>13860</v>
      </c>
      <c r="W4" s="36">
        <v>2675</v>
      </c>
      <c r="Y4"/>
      <c r="Z4"/>
      <c r="AA4"/>
      <c r="AB4"/>
      <c r="AC4"/>
      <c r="AD4"/>
      <c r="AE4"/>
      <c r="AF4"/>
      <c r="AG4"/>
      <c r="AH4"/>
      <c r="AI4"/>
      <c r="AJ4"/>
      <c r="AK4"/>
      <c r="AL4"/>
    </row>
    <row r="5" spans="1:38">
      <c r="A5" s="75">
        <v>1979</v>
      </c>
      <c r="B5" s="36" t="s">
        <v>4</v>
      </c>
      <c r="C5" s="36">
        <v>144</v>
      </c>
      <c r="D5" s="36">
        <v>11951</v>
      </c>
      <c r="E5" s="233">
        <v>1721</v>
      </c>
      <c r="F5" s="75"/>
      <c r="G5" s="75">
        <v>1979</v>
      </c>
      <c r="H5" s="36" t="s">
        <v>28</v>
      </c>
      <c r="I5" s="36">
        <v>28</v>
      </c>
      <c r="J5" s="36">
        <v>10607</v>
      </c>
      <c r="K5" s="36">
        <v>297</v>
      </c>
      <c r="L5" s="75"/>
      <c r="M5" s="75">
        <v>1979</v>
      </c>
      <c r="N5" s="36" t="s">
        <v>29</v>
      </c>
      <c r="O5" s="36">
        <v>94</v>
      </c>
      <c r="P5" s="36">
        <v>11734</v>
      </c>
      <c r="Q5" s="36">
        <v>1103</v>
      </c>
      <c r="R5" s="75"/>
      <c r="S5" s="75">
        <v>1979</v>
      </c>
      <c r="T5" s="36" t="s">
        <v>30</v>
      </c>
      <c r="U5" s="36">
        <v>197</v>
      </c>
      <c r="V5" s="36">
        <v>14299</v>
      </c>
      <c r="W5" s="36">
        <v>2817</v>
      </c>
      <c r="Y5"/>
      <c r="Z5"/>
      <c r="AA5"/>
      <c r="AB5"/>
      <c r="AC5"/>
      <c r="AD5"/>
      <c r="AE5"/>
      <c r="AF5"/>
      <c r="AG5"/>
      <c r="AH5"/>
      <c r="AI5"/>
      <c r="AJ5"/>
      <c r="AK5"/>
      <c r="AL5"/>
    </row>
    <row r="6" spans="1:38">
      <c r="A6" s="75">
        <v>1980</v>
      </c>
      <c r="B6" s="36" t="s">
        <v>4</v>
      </c>
      <c r="C6" s="36">
        <v>154</v>
      </c>
      <c r="D6" s="36">
        <v>12643</v>
      </c>
      <c r="E6" s="233">
        <v>1947</v>
      </c>
      <c r="F6" s="75"/>
      <c r="G6" s="75">
        <v>1980</v>
      </c>
      <c r="H6" s="36" t="s">
        <v>28</v>
      </c>
      <c r="I6" s="36">
        <v>29</v>
      </c>
      <c r="J6" s="36">
        <v>10828</v>
      </c>
      <c r="K6" s="36">
        <v>314</v>
      </c>
      <c r="L6" s="75"/>
      <c r="M6" s="75">
        <v>1980</v>
      </c>
      <c r="N6" s="36" t="s">
        <v>29</v>
      </c>
      <c r="O6" s="36">
        <v>95</v>
      </c>
      <c r="P6" s="36">
        <v>12305</v>
      </c>
      <c r="Q6" s="36">
        <v>1169</v>
      </c>
      <c r="R6" s="75"/>
      <c r="S6" s="75">
        <v>1980</v>
      </c>
      <c r="T6" s="36" t="s">
        <v>30</v>
      </c>
      <c r="U6" s="36">
        <v>201</v>
      </c>
      <c r="V6" s="36">
        <v>14367</v>
      </c>
      <c r="W6" s="36">
        <v>2942</v>
      </c>
      <c r="Y6"/>
      <c r="Z6"/>
      <c r="AA6"/>
      <c r="AB6"/>
      <c r="AC6"/>
      <c r="AD6"/>
      <c r="AE6"/>
      <c r="AF6"/>
      <c r="AG6"/>
      <c r="AH6"/>
      <c r="AI6"/>
      <c r="AJ6"/>
      <c r="AK6"/>
      <c r="AL6"/>
    </row>
    <row r="7" spans="1:38">
      <c r="A7" s="75">
        <v>1981</v>
      </c>
      <c r="B7" s="36" t="s">
        <v>4</v>
      </c>
      <c r="C7" s="36">
        <v>166</v>
      </c>
      <c r="D7" s="36">
        <v>13024</v>
      </c>
      <c r="E7" s="233">
        <v>2162</v>
      </c>
      <c r="F7" s="75"/>
      <c r="G7" s="75">
        <v>1981</v>
      </c>
      <c r="H7" s="36" t="s">
        <v>28</v>
      </c>
      <c r="I7" s="36">
        <v>29</v>
      </c>
      <c r="J7" s="36">
        <v>11414</v>
      </c>
      <c r="K7" s="36">
        <v>331</v>
      </c>
      <c r="L7" s="75"/>
      <c r="M7" s="75">
        <v>1981</v>
      </c>
      <c r="N7" s="36" t="s">
        <v>29</v>
      </c>
      <c r="O7" s="36">
        <v>97</v>
      </c>
      <c r="P7" s="36">
        <v>12577</v>
      </c>
      <c r="Q7" s="36">
        <v>1220</v>
      </c>
      <c r="R7" s="75"/>
      <c r="S7" s="75">
        <v>1981</v>
      </c>
      <c r="T7" s="36" t="s">
        <v>30</v>
      </c>
      <c r="U7" s="36">
        <v>205</v>
      </c>
      <c r="V7" s="36">
        <v>14717</v>
      </c>
      <c r="W7" s="36">
        <v>3017</v>
      </c>
      <c r="Y7"/>
      <c r="Z7"/>
      <c r="AA7"/>
      <c r="AB7"/>
      <c r="AC7"/>
      <c r="AD7"/>
      <c r="AE7"/>
      <c r="AF7"/>
      <c r="AG7"/>
      <c r="AH7"/>
      <c r="AI7"/>
      <c r="AJ7"/>
      <c r="AK7"/>
      <c r="AL7"/>
    </row>
    <row r="8" spans="1:38">
      <c r="A8" s="75">
        <v>1982</v>
      </c>
      <c r="B8" s="36" t="s">
        <v>4</v>
      </c>
      <c r="C8" s="36">
        <v>174</v>
      </c>
      <c r="D8" s="36">
        <v>12948</v>
      </c>
      <c r="E8" s="233">
        <v>2253</v>
      </c>
      <c r="F8" s="75"/>
      <c r="G8" s="75">
        <v>1982</v>
      </c>
      <c r="H8" s="36" t="s">
        <v>28</v>
      </c>
      <c r="I8" s="36">
        <v>29</v>
      </c>
      <c r="J8" s="36">
        <v>11759</v>
      </c>
      <c r="K8" s="36">
        <v>341</v>
      </c>
      <c r="L8" s="75"/>
      <c r="M8" s="75">
        <v>1982</v>
      </c>
      <c r="N8" s="36" t="s">
        <v>29</v>
      </c>
      <c r="O8" s="36">
        <v>99</v>
      </c>
      <c r="P8" s="36">
        <v>13141</v>
      </c>
      <c r="Q8" s="36">
        <v>1301</v>
      </c>
      <c r="R8" s="75"/>
      <c r="S8" s="75">
        <v>1982</v>
      </c>
      <c r="T8" s="36" t="s">
        <v>30</v>
      </c>
      <c r="U8" s="36">
        <v>212</v>
      </c>
      <c r="V8" s="36">
        <v>15198</v>
      </c>
      <c r="W8" s="36">
        <v>3222</v>
      </c>
      <c r="Y8"/>
      <c r="Z8"/>
      <c r="AA8"/>
      <c r="AB8"/>
      <c r="AC8"/>
      <c r="AD8"/>
      <c r="AE8"/>
      <c r="AF8"/>
      <c r="AG8"/>
      <c r="AH8"/>
      <c r="AI8"/>
      <c r="AJ8"/>
      <c r="AK8"/>
      <c r="AL8"/>
    </row>
    <row r="9" spans="1:38">
      <c r="A9" s="75">
        <v>1983</v>
      </c>
      <c r="B9" s="36" t="s">
        <v>4</v>
      </c>
      <c r="C9" s="36">
        <v>174</v>
      </c>
      <c r="D9" s="36">
        <v>13236</v>
      </c>
      <c r="E9" s="233">
        <v>2303</v>
      </c>
      <c r="F9" s="75"/>
      <c r="G9" s="75">
        <v>1983</v>
      </c>
      <c r="H9" s="36" t="s">
        <v>28</v>
      </c>
      <c r="I9" s="36">
        <v>29</v>
      </c>
      <c r="J9" s="36">
        <v>12241</v>
      </c>
      <c r="K9" s="36">
        <v>355</v>
      </c>
      <c r="L9" s="75"/>
      <c r="M9" s="75">
        <v>1983</v>
      </c>
      <c r="N9" s="36" t="s">
        <v>29</v>
      </c>
      <c r="O9" s="36">
        <v>101</v>
      </c>
      <c r="P9" s="36">
        <v>13495</v>
      </c>
      <c r="Q9" s="36">
        <v>1363</v>
      </c>
      <c r="R9" s="75"/>
      <c r="S9" s="75">
        <v>1983</v>
      </c>
      <c r="T9" s="36" t="s">
        <v>30</v>
      </c>
      <c r="U9" s="36">
        <v>216</v>
      </c>
      <c r="V9" s="36">
        <v>16120</v>
      </c>
      <c r="W9" s="36">
        <v>3482</v>
      </c>
      <c r="Y9"/>
      <c r="Z9"/>
      <c r="AA9"/>
      <c r="AB9"/>
      <c r="AC9"/>
      <c r="AD9"/>
      <c r="AE9"/>
      <c r="AF9"/>
      <c r="AG9"/>
      <c r="AH9"/>
      <c r="AI9"/>
      <c r="AJ9"/>
      <c r="AK9"/>
      <c r="AL9"/>
    </row>
    <row r="10" spans="1:38">
      <c r="A10" s="75">
        <v>1984</v>
      </c>
      <c r="B10" s="36" t="s">
        <v>4</v>
      </c>
      <c r="C10" s="36">
        <v>165</v>
      </c>
      <c r="D10" s="36">
        <v>13273</v>
      </c>
      <c r="E10" s="233">
        <v>2190</v>
      </c>
      <c r="F10" s="75"/>
      <c r="G10" s="75">
        <v>1984</v>
      </c>
      <c r="H10" s="36" t="s">
        <v>28</v>
      </c>
      <c r="I10" s="36">
        <v>28</v>
      </c>
      <c r="J10" s="36">
        <v>12179</v>
      </c>
      <c r="K10" s="36">
        <v>341</v>
      </c>
      <c r="L10" s="75"/>
      <c r="M10" s="75">
        <v>1984</v>
      </c>
      <c r="N10" s="36" t="s">
        <v>29</v>
      </c>
      <c r="O10" s="36">
        <v>98</v>
      </c>
      <c r="P10" s="36">
        <v>13653</v>
      </c>
      <c r="Q10" s="36">
        <v>1338</v>
      </c>
      <c r="R10" s="75"/>
      <c r="S10" s="75">
        <v>1984</v>
      </c>
      <c r="T10" s="36" t="s">
        <v>30</v>
      </c>
      <c r="U10" s="36">
        <v>214</v>
      </c>
      <c r="V10" s="36">
        <v>16206</v>
      </c>
      <c r="W10" s="36">
        <v>3468</v>
      </c>
      <c r="Y10"/>
      <c r="Z10"/>
      <c r="AA10"/>
      <c r="AB10"/>
      <c r="AC10"/>
      <c r="AD10"/>
      <c r="AE10"/>
      <c r="AF10"/>
      <c r="AG10"/>
      <c r="AH10"/>
      <c r="AI10"/>
      <c r="AJ10"/>
      <c r="AK10"/>
      <c r="AL10"/>
    </row>
    <row r="11" spans="1:38">
      <c r="A11" s="75">
        <v>1985</v>
      </c>
      <c r="B11" s="36" t="s">
        <v>4</v>
      </c>
      <c r="C11" s="36">
        <v>170</v>
      </c>
      <c r="D11" s="36">
        <v>14241</v>
      </c>
      <c r="E11" s="233">
        <v>2421</v>
      </c>
      <c r="F11" s="75"/>
      <c r="G11" s="75">
        <v>1985</v>
      </c>
      <c r="H11" s="36" t="s">
        <v>28</v>
      </c>
      <c r="I11" s="36">
        <v>28</v>
      </c>
      <c r="J11" s="36">
        <v>12464</v>
      </c>
      <c r="K11" s="36">
        <v>349</v>
      </c>
      <c r="L11" s="75"/>
      <c r="M11" s="75">
        <v>1985</v>
      </c>
      <c r="N11" s="36" t="s">
        <v>29</v>
      </c>
      <c r="O11" s="36">
        <v>100</v>
      </c>
      <c r="P11" s="36">
        <v>14380</v>
      </c>
      <c r="Q11" s="36">
        <v>1438</v>
      </c>
      <c r="R11" s="75"/>
      <c r="S11" s="75">
        <v>1985</v>
      </c>
      <c r="T11" s="36" t="s">
        <v>30</v>
      </c>
      <c r="U11" s="36">
        <v>223</v>
      </c>
      <c r="V11" s="36">
        <v>16816</v>
      </c>
      <c r="W11" s="36">
        <v>3750</v>
      </c>
      <c r="Y11"/>
      <c r="Z11"/>
      <c r="AA11"/>
      <c r="AB11"/>
      <c r="AC11"/>
      <c r="AD11"/>
      <c r="AE11"/>
      <c r="AF11"/>
      <c r="AG11"/>
      <c r="AH11"/>
      <c r="AI11"/>
      <c r="AJ11"/>
      <c r="AK11"/>
      <c r="AL11"/>
    </row>
    <row r="12" spans="1:38">
      <c r="A12" s="75">
        <v>1986</v>
      </c>
      <c r="B12" s="36" t="s">
        <v>4</v>
      </c>
      <c r="C12" s="36">
        <v>166</v>
      </c>
      <c r="D12" s="36">
        <v>14392</v>
      </c>
      <c r="E12" s="233">
        <v>2389</v>
      </c>
      <c r="F12" s="75"/>
      <c r="G12" s="75">
        <v>1986</v>
      </c>
      <c r="H12" s="36" t="s">
        <v>28</v>
      </c>
      <c r="I12" s="36">
        <v>26</v>
      </c>
      <c r="J12" s="36">
        <v>13000</v>
      </c>
      <c r="K12" s="36">
        <v>338</v>
      </c>
      <c r="L12" s="75"/>
      <c r="M12" s="75">
        <v>1986</v>
      </c>
      <c r="N12" s="36" t="s">
        <v>29</v>
      </c>
      <c r="O12" s="36">
        <v>99</v>
      </c>
      <c r="P12" s="36">
        <v>14859</v>
      </c>
      <c r="Q12" s="36">
        <v>1471</v>
      </c>
      <c r="R12" s="75"/>
      <c r="S12" s="75">
        <v>1986</v>
      </c>
      <c r="T12" s="36" t="s">
        <v>30</v>
      </c>
      <c r="U12" s="36">
        <v>214</v>
      </c>
      <c r="V12" s="36">
        <v>17579</v>
      </c>
      <c r="W12" s="36">
        <v>3762</v>
      </c>
      <c r="Y12"/>
      <c r="Z12"/>
      <c r="AA12"/>
      <c r="AB12"/>
      <c r="AC12"/>
      <c r="AD12"/>
      <c r="AE12"/>
      <c r="AF12"/>
      <c r="AG12"/>
      <c r="AH12"/>
      <c r="AI12"/>
      <c r="AJ12"/>
      <c r="AK12"/>
      <c r="AL12"/>
    </row>
    <row r="13" spans="1:38">
      <c r="A13" s="75">
        <v>1987</v>
      </c>
      <c r="B13" s="36" t="s">
        <v>4</v>
      </c>
      <c r="C13" s="36">
        <v>159</v>
      </c>
      <c r="D13" s="36">
        <v>14937</v>
      </c>
      <c r="E13" s="233">
        <v>2375</v>
      </c>
      <c r="F13" s="75"/>
      <c r="G13" s="75">
        <v>1987</v>
      </c>
      <c r="H13" s="36" t="s">
        <v>28</v>
      </c>
      <c r="I13" s="36">
        <v>25</v>
      </c>
      <c r="J13" s="36">
        <v>13560</v>
      </c>
      <c r="K13" s="36">
        <v>339</v>
      </c>
      <c r="L13" s="75"/>
      <c r="M13" s="75">
        <v>1987</v>
      </c>
      <c r="N13" s="36" t="s">
        <v>29</v>
      </c>
      <c r="O13" s="36">
        <v>94</v>
      </c>
      <c r="P13" s="36">
        <v>15649</v>
      </c>
      <c r="Q13" s="36">
        <v>1471</v>
      </c>
      <c r="R13" s="75"/>
      <c r="S13" s="75">
        <v>1987</v>
      </c>
      <c r="T13" s="36" t="s">
        <v>30</v>
      </c>
      <c r="U13" s="36">
        <v>216</v>
      </c>
      <c r="V13" s="36">
        <v>17421</v>
      </c>
      <c r="W13" s="36">
        <v>3763</v>
      </c>
      <c r="Y13"/>
      <c r="Z13"/>
      <c r="AA13"/>
      <c r="AB13"/>
      <c r="AC13"/>
      <c r="AD13"/>
      <c r="AE13"/>
      <c r="AF13"/>
      <c r="AG13"/>
      <c r="AH13"/>
      <c r="AI13"/>
      <c r="AJ13"/>
      <c r="AK13"/>
      <c r="AL13"/>
    </row>
    <row r="14" spans="1:38">
      <c r="A14" s="75">
        <v>1988</v>
      </c>
      <c r="B14" s="36" t="s">
        <v>4</v>
      </c>
      <c r="C14" s="36">
        <v>168</v>
      </c>
      <c r="D14" s="36">
        <v>15643</v>
      </c>
      <c r="E14" s="233">
        <v>2628</v>
      </c>
      <c r="F14" s="75"/>
      <c r="G14" s="75">
        <v>1988</v>
      </c>
      <c r="H14" s="36" t="s">
        <v>28</v>
      </c>
      <c r="I14" s="36">
        <v>25</v>
      </c>
      <c r="J14" s="36">
        <v>14080</v>
      </c>
      <c r="K14" s="36">
        <v>352</v>
      </c>
      <c r="L14" s="75"/>
      <c r="M14" s="75">
        <v>1988</v>
      </c>
      <c r="N14" s="36" t="s">
        <v>29</v>
      </c>
      <c r="O14" s="36">
        <v>94</v>
      </c>
      <c r="P14" s="36">
        <v>15989</v>
      </c>
      <c r="Q14" s="36">
        <v>1503</v>
      </c>
      <c r="R14" s="75"/>
      <c r="S14" s="75">
        <v>1988</v>
      </c>
      <c r="T14" s="36" t="s">
        <v>30</v>
      </c>
      <c r="U14" s="36">
        <v>221</v>
      </c>
      <c r="V14" s="36">
        <v>17946</v>
      </c>
      <c r="W14" s="36">
        <v>3966</v>
      </c>
      <c r="Y14"/>
      <c r="Z14"/>
      <c r="AA14"/>
      <c r="AB14"/>
      <c r="AC14"/>
      <c r="AD14"/>
      <c r="AE14"/>
      <c r="AF14"/>
      <c r="AG14"/>
      <c r="AH14"/>
      <c r="AI14"/>
      <c r="AJ14"/>
      <c r="AK14"/>
      <c r="AL14"/>
    </row>
    <row r="15" spans="1:38">
      <c r="A15" s="75">
        <v>1989</v>
      </c>
      <c r="B15" s="36" t="s">
        <v>4</v>
      </c>
      <c r="C15" s="36">
        <v>171</v>
      </c>
      <c r="D15" s="36">
        <v>15608</v>
      </c>
      <c r="E15" s="233">
        <v>2669</v>
      </c>
      <c r="F15" s="75"/>
      <c r="G15" s="75">
        <v>1989</v>
      </c>
      <c r="H15" s="36" t="s">
        <v>28</v>
      </c>
      <c r="I15" s="36">
        <v>24</v>
      </c>
      <c r="J15" s="36">
        <v>13625</v>
      </c>
      <c r="K15" s="36">
        <v>327</v>
      </c>
      <c r="L15" s="75"/>
      <c r="M15" s="75">
        <v>1989</v>
      </c>
      <c r="N15" s="36" t="s">
        <v>29</v>
      </c>
      <c r="O15" s="36">
        <v>95</v>
      </c>
      <c r="P15" s="36">
        <v>15884</v>
      </c>
      <c r="Q15" s="36">
        <v>1509</v>
      </c>
      <c r="R15" s="75"/>
      <c r="S15" s="75">
        <v>1989</v>
      </c>
      <c r="T15" s="36" t="s">
        <v>30</v>
      </c>
      <c r="U15" s="36">
        <v>225</v>
      </c>
      <c r="V15" s="36">
        <v>18209</v>
      </c>
      <c r="W15" s="36">
        <v>4097</v>
      </c>
      <c r="Y15"/>
      <c r="Z15"/>
      <c r="AA15"/>
      <c r="AB15"/>
      <c r="AC15"/>
      <c r="AD15"/>
      <c r="AE15"/>
      <c r="AF15"/>
      <c r="AG15"/>
      <c r="AH15"/>
      <c r="AI15"/>
      <c r="AJ15"/>
      <c r="AK15"/>
      <c r="AL15"/>
    </row>
    <row r="16" spans="1:38">
      <c r="A16" s="75">
        <v>1990</v>
      </c>
      <c r="B16" s="36" t="s">
        <v>4</v>
      </c>
      <c r="C16" s="36">
        <v>179</v>
      </c>
      <c r="D16" s="36">
        <v>16475</v>
      </c>
      <c r="E16" s="233">
        <v>2949</v>
      </c>
      <c r="F16" s="75"/>
      <c r="G16" s="75">
        <v>1990</v>
      </c>
      <c r="H16" s="36" t="s">
        <v>28</v>
      </c>
      <c r="I16" s="36">
        <v>24</v>
      </c>
      <c r="J16" s="36">
        <v>13542</v>
      </c>
      <c r="K16" s="36">
        <v>325</v>
      </c>
      <c r="L16" s="75"/>
      <c r="M16" s="75">
        <v>1990</v>
      </c>
      <c r="N16" s="36" t="s">
        <v>29</v>
      </c>
      <c r="O16" s="36">
        <v>99</v>
      </c>
      <c r="P16" s="36">
        <v>16273</v>
      </c>
      <c r="Q16" s="36">
        <v>1611</v>
      </c>
      <c r="R16" s="75"/>
      <c r="S16" s="75">
        <v>1990</v>
      </c>
      <c r="T16" s="36" t="s">
        <v>30</v>
      </c>
      <c r="U16" s="36">
        <v>237</v>
      </c>
      <c r="V16" s="36">
        <v>18532</v>
      </c>
      <c r="W16" s="36">
        <v>4392</v>
      </c>
      <c r="Y16"/>
      <c r="Z16"/>
      <c r="AA16"/>
      <c r="AB16"/>
      <c r="AC16"/>
      <c r="AD16"/>
      <c r="AE16"/>
      <c r="AF16"/>
      <c r="AG16"/>
      <c r="AH16"/>
      <c r="AI16"/>
      <c r="AJ16"/>
      <c r="AK16"/>
      <c r="AL16"/>
    </row>
    <row r="17" spans="1:38">
      <c r="A17" s="75">
        <v>1991</v>
      </c>
      <c r="B17" s="36" t="s">
        <v>4</v>
      </c>
      <c r="C17" s="36">
        <v>178</v>
      </c>
      <c r="D17" s="36">
        <v>16399</v>
      </c>
      <c r="E17" s="233">
        <v>2919</v>
      </c>
      <c r="F17" s="75"/>
      <c r="G17" s="75">
        <v>1991</v>
      </c>
      <c r="H17" s="36" t="s">
        <v>28</v>
      </c>
      <c r="I17" s="36">
        <v>24</v>
      </c>
      <c r="J17" s="36">
        <v>13750</v>
      </c>
      <c r="K17" s="36">
        <v>330</v>
      </c>
      <c r="L17" s="75"/>
      <c r="M17" s="75">
        <v>1991</v>
      </c>
      <c r="N17" s="36" t="s">
        <v>29</v>
      </c>
      <c r="O17" s="36">
        <v>100</v>
      </c>
      <c r="P17" s="36">
        <v>16590</v>
      </c>
      <c r="Q17" s="36">
        <v>1659</v>
      </c>
      <c r="R17" s="75"/>
      <c r="S17" s="75">
        <v>1991</v>
      </c>
      <c r="T17" s="36" t="s">
        <v>30</v>
      </c>
      <c r="U17" s="36">
        <v>237</v>
      </c>
      <c r="V17" s="36">
        <v>18814</v>
      </c>
      <c r="W17" s="36">
        <v>4459</v>
      </c>
      <c r="Y17"/>
      <c r="Z17"/>
      <c r="AA17"/>
      <c r="AB17"/>
      <c r="AC17"/>
      <c r="AD17"/>
      <c r="AE17"/>
      <c r="AF17"/>
      <c r="AG17"/>
      <c r="AH17"/>
      <c r="AI17"/>
      <c r="AJ17"/>
      <c r="AK17"/>
      <c r="AL17"/>
    </row>
    <row r="18" spans="1:38">
      <c r="A18" s="75">
        <v>1992</v>
      </c>
      <c r="B18" s="36" t="s">
        <v>4</v>
      </c>
      <c r="C18" s="36">
        <v>183</v>
      </c>
      <c r="D18" s="36">
        <v>17148</v>
      </c>
      <c r="E18" s="233">
        <v>3138</v>
      </c>
      <c r="F18" s="75"/>
      <c r="G18" s="75">
        <v>1992</v>
      </c>
      <c r="H18" s="36" t="s">
        <v>28</v>
      </c>
      <c r="I18" s="36">
        <v>23</v>
      </c>
      <c r="J18" s="36">
        <v>14217</v>
      </c>
      <c r="K18" s="36">
        <v>327</v>
      </c>
      <c r="L18" s="75"/>
      <c r="M18" s="75">
        <v>1992</v>
      </c>
      <c r="N18" s="36" t="s">
        <v>29</v>
      </c>
      <c r="O18" s="36">
        <v>102</v>
      </c>
      <c r="P18" s="36">
        <v>16784</v>
      </c>
      <c r="Q18" s="36">
        <v>1712</v>
      </c>
      <c r="R18" s="75"/>
      <c r="S18" s="75">
        <v>1992</v>
      </c>
      <c r="T18" s="36" t="s">
        <v>30</v>
      </c>
      <c r="U18" s="36">
        <v>249</v>
      </c>
      <c r="V18" s="36">
        <v>19422</v>
      </c>
      <c r="W18" s="36">
        <v>4836</v>
      </c>
      <c r="Y18"/>
      <c r="Z18"/>
      <c r="AA18"/>
      <c r="AB18"/>
      <c r="AC18"/>
      <c r="AD18"/>
      <c r="AE18"/>
      <c r="AF18"/>
      <c r="AG18"/>
      <c r="AH18"/>
      <c r="AI18"/>
      <c r="AJ18"/>
      <c r="AK18"/>
      <c r="AL18"/>
    </row>
    <row r="19" spans="1:38">
      <c r="A19" s="75">
        <v>1993</v>
      </c>
      <c r="B19" s="36" t="s">
        <v>4</v>
      </c>
      <c r="C19" s="36">
        <v>189</v>
      </c>
      <c r="D19" s="36">
        <v>17085</v>
      </c>
      <c r="E19" s="233">
        <v>3229</v>
      </c>
      <c r="F19" s="75"/>
      <c r="G19" s="75">
        <v>1993</v>
      </c>
      <c r="H19" s="36" t="s">
        <v>28</v>
      </c>
      <c r="I19" s="36">
        <v>22</v>
      </c>
      <c r="J19" s="36">
        <v>13955</v>
      </c>
      <c r="K19" s="36">
        <v>307</v>
      </c>
      <c r="L19" s="75"/>
      <c r="M19" s="75">
        <v>1993</v>
      </c>
      <c r="N19" s="36" t="s">
        <v>29</v>
      </c>
      <c r="O19" s="36">
        <v>100</v>
      </c>
      <c r="P19" s="36">
        <v>16920</v>
      </c>
      <c r="Q19" s="36">
        <v>1692</v>
      </c>
      <c r="R19" s="75"/>
      <c r="S19" s="75">
        <v>1993</v>
      </c>
      <c r="T19" s="36" t="s">
        <v>30</v>
      </c>
      <c r="U19" s="36">
        <v>257</v>
      </c>
      <c r="V19" s="36">
        <v>19377</v>
      </c>
      <c r="W19" s="36">
        <v>4980</v>
      </c>
      <c r="Y19"/>
      <c r="Z19"/>
      <c r="AA19"/>
      <c r="AB19"/>
      <c r="AC19"/>
      <c r="AD19"/>
      <c r="AE19"/>
      <c r="AF19"/>
      <c r="AG19"/>
      <c r="AH19"/>
      <c r="AI19"/>
      <c r="AJ19"/>
      <c r="AK19"/>
      <c r="AL19"/>
    </row>
    <row r="20" spans="1:38">
      <c r="A20" s="75">
        <v>1994</v>
      </c>
      <c r="B20" s="36" t="s">
        <v>4</v>
      </c>
      <c r="C20" s="36">
        <v>208</v>
      </c>
      <c r="D20" s="36">
        <v>18048</v>
      </c>
      <c r="E20" s="233">
        <v>3754</v>
      </c>
      <c r="F20" s="75"/>
      <c r="G20" s="75">
        <v>1994</v>
      </c>
      <c r="H20" s="36" t="s">
        <v>28</v>
      </c>
      <c r="I20" s="36">
        <v>21</v>
      </c>
      <c r="J20" s="36">
        <v>14619</v>
      </c>
      <c r="K20" s="36">
        <v>307</v>
      </c>
      <c r="L20" s="75"/>
      <c r="M20" s="75">
        <v>1994</v>
      </c>
      <c r="N20" s="36" t="s">
        <v>29</v>
      </c>
      <c r="O20" s="36">
        <v>100</v>
      </c>
      <c r="P20" s="36">
        <v>17140</v>
      </c>
      <c r="Q20" s="36">
        <v>1714</v>
      </c>
      <c r="R20" s="75"/>
      <c r="S20" s="75">
        <v>1994</v>
      </c>
      <c r="T20" s="36" t="s">
        <v>30</v>
      </c>
      <c r="U20" s="36">
        <v>261</v>
      </c>
      <c r="V20" s="36">
        <v>19935</v>
      </c>
      <c r="W20" s="36">
        <v>5203</v>
      </c>
      <c r="Y20"/>
      <c r="Z20"/>
      <c r="AA20"/>
      <c r="AB20"/>
      <c r="AC20"/>
      <c r="AD20"/>
      <c r="AE20"/>
      <c r="AF20"/>
      <c r="AG20"/>
      <c r="AH20"/>
      <c r="AI20"/>
      <c r="AJ20"/>
      <c r="AK20"/>
      <c r="AL20"/>
    </row>
    <row r="21" spans="1:38">
      <c r="A21" s="75">
        <v>1995</v>
      </c>
      <c r="B21" s="36" t="s">
        <v>4</v>
      </c>
      <c r="C21" s="36">
        <v>232</v>
      </c>
      <c r="D21" s="36">
        <v>18147</v>
      </c>
      <c r="E21" s="233">
        <v>4210</v>
      </c>
      <c r="F21" s="75"/>
      <c r="G21" s="75">
        <v>1995</v>
      </c>
      <c r="H21" s="36" t="s">
        <v>28</v>
      </c>
      <c r="I21" s="36">
        <v>21</v>
      </c>
      <c r="J21" s="36">
        <v>15000</v>
      </c>
      <c r="K21" s="36">
        <v>315</v>
      </c>
      <c r="L21" s="75"/>
      <c r="M21" s="75">
        <v>1995</v>
      </c>
      <c r="N21" s="36" t="s">
        <v>29</v>
      </c>
      <c r="O21" s="36">
        <v>97</v>
      </c>
      <c r="P21" s="36">
        <v>17289</v>
      </c>
      <c r="Q21" s="36">
        <v>1677</v>
      </c>
      <c r="R21" s="75"/>
      <c r="S21" s="75">
        <v>1995</v>
      </c>
      <c r="T21" s="36" t="s">
        <v>30</v>
      </c>
      <c r="U21" s="36">
        <v>264</v>
      </c>
      <c r="V21" s="36">
        <v>20091</v>
      </c>
      <c r="W21" s="36">
        <v>5304</v>
      </c>
      <c r="Y21"/>
      <c r="Z21"/>
      <c r="AA21"/>
      <c r="AB21"/>
      <c r="AC21"/>
      <c r="AD21"/>
      <c r="AE21"/>
      <c r="AF21"/>
      <c r="AG21"/>
      <c r="AH21"/>
      <c r="AI21"/>
      <c r="AJ21"/>
      <c r="AK21"/>
      <c r="AL21"/>
    </row>
    <row r="22" spans="1:38">
      <c r="A22" s="75">
        <v>1996</v>
      </c>
      <c r="B22" s="36" t="s">
        <v>4</v>
      </c>
      <c r="C22" s="36">
        <v>256</v>
      </c>
      <c r="D22" s="36">
        <v>18496</v>
      </c>
      <c r="E22" s="233">
        <v>4735</v>
      </c>
      <c r="F22" s="75"/>
      <c r="G22" s="75">
        <v>1996</v>
      </c>
      <c r="H22" s="36" t="s">
        <v>28</v>
      </c>
      <c r="I22" s="36">
        <v>20</v>
      </c>
      <c r="J22" s="36">
        <v>15350</v>
      </c>
      <c r="K22" s="36">
        <v>307</v>
      </c>
      <c r="L22" s="75"/>
      <c r="M22" s="75">
        <v>1996</v>
      </c>
      <c r="N22" s="36" t="s">
        <v>29</v>
      </c>
      <c r="O22" s="36">
        <v>93</v>
      </c>
      <c r="P22" s="36">
        <v>17290</v>
      </c>
      <c r="Q22" s="36">
        <v>1608</v>
      </c>
      <c r="R22" s="75"/>
      <c r="S22" s="75">
        <v>1996</v>
      </c>
      <c r="T22" s="36" t="s">
        <v>30</v>
      </c>
      <c r="U22" s="36">
        <v>257</v>
      </c>
      <c r="V22" s="36">
        <v>20541</v>
      </c>
      <c r="W22" s="36">
        <v>5279</v>
      </c>
      <c r="Y22"/>
      <c r="Z22"/>
      <c r="AA22"/>
      <c r="AB22"/>
      <c r="AC22"/>
      <c r="AD22"/>
      <c r="AE22"/>
      <c r="AF22"/>
      <c r="AG22"/>
      <c r="AH22"/>
      <c r="AI22"/>
      <c r="AJ22"/>
      <c r="AK22"/>
      <c r="AL22"/>
    </row>
    <row r="23" spans="1:38">
      <c r="A23" s="75">
        <v>1997</v>
      </c>
      <c r="B23" s="36" t="s">
        <v>4</v>
      </c>
      <c r="C23" s="36">
        <v>272</v>
      </c>
      <c r="D23" s="36">
        <v>19092</v>
      </c>
      <c r="E23" s="233">
        <v>5193</v>
      </c>
      <c r="F23" s="75"/>
      <c r="G23" s="75">
        <v>1997</v>
      </c>
      <c r="H23" s="36" t="s">
        <v>28</v>
      </c>
      <c r="I23" s="36">
        <v>19</v>
      </c>
      <c r="J23" s="36">
        <v>15526</v>
      </c>
      <c r="K23" s="36">
        <v>295</v>
      </c>
      <c r="L23" s="75"/>
      <c r="M23" s="75">
        <v>1997</v>
      </c>
      <c r="N23" s="36" t="s">
        <v>29</v>
      </c>
      <c r="O23" s="36">
        <v>90</v>
      </c>
      <c r="P23" s="36">
        <v>17889</v>
      </c>
      <c r="Q23" s="36">
        <v>1610</v>
      </c>
      <c r="R23" s="75"/>
      <c r="S23" s="75">
        <v>1997</v>
      </c>
      <c r="T23" s="36" t="s">
        <v>30</v>
      </c>
      <c r="U23" s="36">
        <v>253</v>
      </c>
      <c r="V23" s="36">
        <v>20968</v>
      </c>
      <c r="W23" s="36">
        <v>5305</v>
      </c>
      <c r="Z23" s="75"/>
      <c r="AA23" s="75" t="s">
        <v>171</v>
      </c>
      <c r="AB23" s="75" t="s">
        <v>172</v>
      </c>
      <c r="AC23" s="75" t="s">
        <v>173</v>
      </c>
      <c r="AD23" s="75" t="s">
        <v>174</v>
      </c>
      <c r="AE23" s="235" t="s">
        <v>175</v>
      </c>
    </row>
    <row r="24" spans="1:38">
      <c r="A24" s="75">
        <v>1998</v>
      </c>
      <c r="B24" s="36" t="s">
        <v>4</v>
      </c>
      <c r="C24" s="36">
        <v>292</v>
      </c>
      <c r="D24" s="36">
        <v>19743</v>
      </c>
      <c r="E24" s="233">
        <v>5765</v>
      </c>
      <c r="F24" s="75"/>
      <c r="G24" s="75">
        <v>1998</v>
      </c>
      <c r="H24" s="36" t="s">
        <v>28</v>
      </c>
      <c r="I24" s="36">
        <v>18</v>
      </c>
      <c r="J24" s="36">
        <v>16167</v>
      </c>
      <c r="K24" s="36">
        <v>291</v>
      </c>
      <c r="L24" s="75"/>
      <c r="M24" s="75">
        <v>1998</v>
      </c>
      <c r="N24" s="36" t="s">
        <v>29</v>
      </c>
      <c r="O24" s="36">
        <v>89</v>
      </c>
      <c r="P24" s="36">
        <v>17787</v>
      </c>
      <c r="Q24" s="36">
        <v>1583</v>
      </c>
      <c r="R24" s="75"/>
      <c r="S24" s="75">
        <v>1998</v>
      </c>
      <c r="T24" s="36" t="s">
        <v>30</v>
      </c>
      <c r="U24" s="36">
        <v>248</v>
      </c>
      <c r="V24" s="36">
        <v>21476</v>
      </c>
      <c r="W24" s="36">
        <v>5326</v>
      </c>
      <c r="Z24" s="75" t="s">
        <v>4</v>
      </c>
      <c r="AA24" s="38">
        <v>934</v>
      </c>
      <c r="AB24" s="38">
        <f>AC24/AA24</f>
        <v>619.65845824411133</v>
      </c>
      <c r="AC24" s="38">
        <v>578761</v>
      </c>
      <c r="AD24" s="38">
        <f>D34</f>
        <v>23440</v>
      </c>
      <c r="AE24" s="38">
        <f>E34</f>
        <v>13431.12</v>
      </c>
    </row>
    <row r="25" spans="1:38">
      <c r="A25" s="75">
        <v>1999</v>
      </c>
      <c r="B25" s="36" t="s">
        <v>4</v>
      </c>
      <c r="C25" s="36">
        <v>318</v>
      </c>
      <c r="D25" s="36">
        <v>20292</v>
      </c>
      <c r="E25" s="233">
        <v>6453</v>
      </c>
      <c r="F25" s="75"/>
      <c r="G25" s="75">
        <v>1999</v>
      </c>
      <c r="H25" s="36" t="s">
        <v>28</v>
      </c>
      <c r="I25" s="36">
        <v>18</v>
      </c>
      <c r="J25" s="36">
        <v>16833</v>
      </c>
      <c r="K25" s="36">
        <v>303</v>
      </c>
      <c r="L25" s="75"/>
      <c r="M25" s="75">
        <v>1999</v>
      </c>
      <c r="N25" s="36" t="s">
        <v>29</v>
      </c>
      <c r="O25" s="36">
        <v>89</v>
      </c>
      <c r="P25" s="36">
        <v>18708</v>
      </c>
      <c r="Q25" s="36">
        <v>1665</v>
      </c>
      <c r="R25" s="75"/>
      <c r="S25" s="75">
        <v>1999</v>
      </c>
      <c r="T25" s="36" t="s">
        <v>30</v>
      </c>
      <c r="U25" s="36">
        <v>247</v>
      </c>
      <c r="V25" s="36">
        <v>22409</v>
      </c>
      <c r="W25" s="36">
        <v>5535</v>
      </c>
      <c r="Z25" s="75" t="s">
        <v>28</v>
      </c>
      <c r="AA25" s="38">
        <v>397</v>
      </c>
      <c r="AB25" s="38">
        <f>AC25/AA25</f>
        <v>35.130982367758186</v>
      </c>
      <c r="AC25" s="38">
        <v>13947</v>
      </c>
      <c r="AD25" s="38">
        <f>J34</f>
        <v>21286</v>
      </c>
      <c r="AE25" s="38">
        <f>K34</f>
        <v>298.00400000000002</v>
      </c>
    </row>
    <row r="26" spans="1:38">
      <c r="A26" s="75">
        <v>2000</v>
      </c>
      <c r="B26" s="36" t="s">
        <v>4</v>
      </c>
      <c r="C26" s="36">
        <v>347</v>
      </c>
      <c r="D26" s="36">
        <v>20816</v>
      </c>
      <c r="E26" s="233">
        <v>7223</v>
      </c>
      <c r="F26" s="75"/>
      <c r="G26" s="75">
        <v>2000</v>
      </c>
      <c r="H26" s="36" t="s">
        <v>28</v>
      </c>
      <c r="I26" s="36">
        <v>19</v>
      </c>
      <c r="J26" s="36">
        <v>17789</v>
      </c>
      <c r="K26" s="36">
        <v>338</v>
      </c>
      <c r="L26" s="75"/>
      <c r="M26" s="75">
        <v>2000</v>
      </c>
      <c r="N26" s="36" t="s">
        <v>29</v>
      </c>
      <c r="O26" s="36">
        <v>90</v>
      </c>
      <c r="P26" s="36">
        <v>18222</v>
      </c>
      <c r="Q26" s="36">
        <v>1640</v>
      </c>
      <c r="R26" s="75"/>
      <c r="S26" s="75">
        <v>2000</v>
      </c>
      <c r="T26" s="36" t="s">
        <v>30</v>
      </c>
      <c r="U26" s="36">
        <v>247</v>
      </c>
      <c r="V26" s="36">
        <v>22644</v>
      </c>
      <c r="W26" s="36">
        <v>5593</v>
      </c>
      <c r="Z26" s="75" t="s">
        <v>29</v>
      </c>
      <c r="AA26" s="38">
        <v>686</v>
      </c>
      <c r="AB26" s="38">
        <f>AC26/AA26</f>
        <v>183.3338192419825</v>
      </c>
      <c r="AC26" s="38">
        <v>125767</v>
      </c>
      <c r="AD26" s="38">
        <f>P34</f>
        <v>20439</v>
      </c>
      <c r="AE26" s="38">
        <f>Q34</f>
        <v>2513.9969999999998</v>
      </c>
    </row>
    <row r="27" spans="1:38">
      <c r="A27" s="75">
        <v>2001</v>
      </c>
      <c r="B27" s="36" t="s">
        <v>4</v>
      </c>
      <c r="C27" s="36">
        <v>366</v>
      </c>
      <c r="D27" s="36">
        <v>21194</v>
      </c>
      <c r="E27" s="233">
        <v>7757</v>
      </c>
      <c r="F27" s="75"/>
      <c r="G27" s="75">
        <v>2001</v>
      </c>
      <c r="H27" s="36" t="s">
        <v>28</v>
      </c>
      <c r="I27" s="36">
        <v>19</v>
      </c>
      <c r="J27" s="36">
        <v>18211</v>
      </c>
      <c r="K27" s="36">
        <v>346</v>
      </c>
      <c r="L27" s="75"/>
      <c r="M27" s="75">
        <v>2001</v>
      </c>
      <c r="N27" s="36" t="s">
        <v>29</v>
      </c>
      <c r="O27" s="36">
        <v>95</v>
      </c>
      <c r="P27" s="36">
        <v>18074</v>
      </c>
      <c r="Q27" s="36">
        <v>1717</v>
      </c>
      <c r="R27" s="75"/>
      <c r="S27" s="75">
        <v>2001</v>
      </c>
      <c r="T27" s="36" t="s">
        <v>30</v>
      </c>
      <c r="U27" s="36">
        <v>247</v>
      </c>
      <c r="V27" s="36">
        <v>22324</v>
      </c>
      <c r="W27" s="36">
        <v>5514</v>
      </c>
      <c r="Z27" s="75" t="s">
        <v>30</v>
      </c>
      <c r="AA27" s="38">
        <v>798</v>
      </c>
      <c r="AB27" s="38">
        <f>AC27/AA27</f>
        <v>334.57268170426067</v>
      </c>
      <c r="AC27" s="38">
        <v>266989</v>
      </c>
      <c r="AD27" s="38">
        <f>V34</f>
        <v>23820</v>
      </c>
      <c r="AE27" s="38">
        <f>W34</f>
        <v>6336.12</v>
      </c>
    </row>
    <row r="28" spans="1:38">
      <c r="A28" s="75">
        <v>2002</v>
      </c>
      <c r="B28" s="36" t="s">
        <v>4</v>
      </c>
      <c r="C28" s="36">
        <v>388</v>
      </c>
      <c r="D28" s="36">
        <v>21018</v>
      </c>
      <c r="E28" s="233">
        <v>8155</v>
      </c>
      <c r="F28" s="75"/>
      <c r="G28" s="75">
        <v>2002</v>
      </c>
      <c r="H28" s="36" t="s">
        <v>28</v>
      </c>
      <c r="I28" s="36">
        <v>18</v>
      </c>
      <c r="J28" s="36">
        <v>18944</v>
      </c>
      <c r="K28" s="36">
        <v>341</v>
      </c>
      <c r="L28" s="75"/>
      <c r="M28" s="75">
        <v>2002</v>
      </c>
      <c r="N28" s="36" t="s">
        <v>29</v>
      </c>
      <c r="O28" s="36">
        <v>114</v>
      </c>
      <c r="P28" s="36">
        <v>18360</v>
      </c>
      <c r="Q28" s="36">
        <v>2093</v>
      </c>
      <c r="R28" s="75"/>
      <c r="S28" s="75">
        <v>2002</v>
      </c>
      <c r="T28" s="36" t="s">
        <v>30</v>
      </c>
      <c r="U28" s="36">
        <v>247</v>
      </c>
      <c r="V28" s="36">
        <v>22753</v>
      </c>
      <c r="W28" s="36">
        <v>5620</v>
      </c>
      <c r="Z28" s="345" t="s">
        <v>33</v>
      </c>
      <c r="AA28" s="49">
        <f>SUM(AA24:AA27)</f>
        <v>2815</v>
      </c>
      <c r="AB28" s="38">
        <f>AC28/AA28</f>
        <v>350.07602131438722</v>
      </c>
      <c r="AC28" s="49">
        <f>SUM(AC24:AC27)</f>
        <v>985464</v>
      </c>
      <c r="AD28" s="38">
        <f>(AE28*1000000)/AC28</f>
        <v>22912.294107141406</v>
      </c>
      <c r="AE28" s="49">
        <f>SUM(AE24:AE27)</f>
        <v>22579.241000000002</v>
      </c>
    </row>
    <row r="29" spans="1:38">
      <c r="A29" s="75">
        <v>2003</v>
      </c>
      <c r="B29" s="36" t="s">
        <v>4</v>
      </c>
      <c r="C29" s="36">
        <v>404</v>
      </c>
      <c r="D29" s="36">
        <v>21718</v>
      </c>
      <c r="E29" s="233">
        <v>8774</v>
      </c>
      <c r="F29" s="75"/>
      <c r="G29" s="75">
        <v>2003</v>
      </c>
      <c r="H29" s="36" t="s">
        <v>28</v>
      </c>
      <c r="I29" s="36">
        <v>18</v>
      </c>
      <c r="J29" s="36">
        <v>19167</v>
      </c>
      <c r="K29" s="36">
        <v>345</v>
      </c>
      <c r="L29" s="75"/>
      <c r="M29" s="75">
        <v>2003</v>
      </c>
      <c r="N29" s="36" t="s">
        <v>29</v>
      </c>
      <c r="O29" s="36">
        <v>119</v>
      </c>
      <c r="P29" s="36">
        <v>18294</v>
      </c>
      <c r="Q29" s="36">
        <v>2177</v>
      </c>
      <c r="R29" s="75"/>
      <c r="S29" s="75">
        <v>2003</v>
      </c>
      <c r="T29" s="36" t="s">
        <v>30</v>
      </c>
      <c r="U29" s="36">
        <v>245</v>
      </c>
      <c r="V29" s="36">
        <v>22780</v>
      </c>
      <c r="W29" s="36">
        <v>5581</v>
      </c>
      <c r="AD29" s="239"/>
    </row>
    <row r="30" spans="1:38">
      <c r="A30" s="75">
        <v>2004</v>
      </c>
      <c r="B30" s="36" t="s">
        <v>4</v>
      </c>
      <c r="C30" s="36">
        <v>424</v>
      </c>
      <c r="D30" s="36">
        <v>21446</v>
      </c>
      <c r="E30" s="233">
        <v>9093</v>
      </c>
      <c r="F30" s="75"/>
      <c r="G30" s="75">
        <v>2004</v>
      </c>
      <c r="H30" s="36" t="s">
        <v>28</v>
      </c>
      <c r="I30" s="36">
        <v>18</v>
      </c>
      <c r="J30" s="36">
        <v>19333</v>
      </c>
      <c r="K30" s="36">
        <v>348</v>
      </c>
      <c r="L30" s="75"/>
      <c r="M30" s="75">
        <v>2004</v>
      </c>
      <c r="N30" s="36" t="s">
        <v>29</v>
      </c>
      <c r="O30" s="36">
        <v>120</v>
      </c>
      <c r="P30" s="36">
        <v>18917</v>
      </c>
      <c r="Q30" s="36">
        <v>2270</v>
      </c>
      <c r="R30" s="75"/>
      <c r="S30" s="75">
        <v>2004</v>
      </c>
      <c r="T30" s="36" t="s">
        <v>30</v>
      </c>
      <c r="U30" s="36">
        <v>237</v>
      </c>
      <c r="V30" s="36">
        <v>22852</v>
      </c>
      <c r="W30" s="36">
        <v>5416</v>
      </c>
    </row>
    <row r="31" spans="1:38">
      <c r="A31" s="75">
        <v>2005</v>
      </c>
      <c r="B31" s="36" t="s">
        <v>4</v>
      </c>
      <c r="C31" s="36">
        <v>455</v>
      </c>
      <c r="D31" s="36">
        <v>22332</v>
      </c>
      <c r="E31" s="233">
        <v>10161</v>
      </c>
      <c r="F31" s="75"/>
      <c r="G31" s="75">
        <v>2005</v>
      </c>
      <c r="H31" s="36" t="s">
        <v>28</v>
      </c>
      <c r="I31" s="36">
        <v>19</v>
      </c>
      <c r="J31" s="36">
        <v>19579</v>
      </c>
      <c r="K31" s="36">
        <v>372</v>
      </c>
      <c r="L31" s="75"/>
      <c r="M31" s="75">
        <v>2005</v>
      </c>
      <c r="N31" s="36" t="s">
        <v>29</v>
      </c>
      <c r="O31" s="36">
        <v>121</v>
      </c>
      <c r="P31" s="36">
        <v>18876</v>
      </c>
      <c r="Q31" s="36">
        <v>2284</v>
      </c>
      <c r="R31" s="75"/>
      <c r="S31" s="75">
        <v>2005</v>
      </c>
      <c r="T31" s="36" t="s">
        <v>30</v>
      </c>
      <c r="U31" s="36">
        <v>241</v>
      </c>
      <c r="V31" s="36">
        <v>23270</v>
      </c>
      <c r="W31" s="36">
        <v>5608</v>
      </c>
    </row>
    <row r="32" spans="1:38">
      <c r="A32" s="75">
        <v>2006</v>
      </c>
      <c r="B32" s="36" t="s">
        <v>4</v>
      </c>
      <c r="C32" s="36">
        <v>488</v>
      </c>
      <c r="D32" s="36">
        <v>22346</v>
      </c>
      <c r="E32" s="233">
        <v>10905</v>
      </c>
      <c r="F32" s="75"/>
      <c r="G32" s="75">
        <v>2006</v>
      </c>
      <c r="H32" s="36" t="s">
        <v>28</v>
      </c>
      <c r="I32" s="36">
        <v>19</v>
      </c>
      <c r="J32" s="36">
        <v>18632</v>
      </c>
      <c r="K32" s="36">
        <v>354</v>
      </c>
      <c r="L32" s="75"/>
      <c r="M32" s="75">
        <v>2006</v>
      </c>
      <c r="N32" s="36" t="s">
        <v>29</v>
      </c>
      <c r="O32" s="36">
        <v>118</v>
      </c>
      <c r="P32" s="36">
        <v>19000</v>
      </c>
      <c r="Q32" s="36">
        <v>2242</v>
      </c>
      <c r="R32" s="75"/>
      <c r="S32" s="75">
        <v>2006</v>
      </c>
      <c r="T32" s="36" t="s">
        <v>30</v>
      </c>
      <c r="U32" s="36">
        <v>237</v>
      </c>
      <c r="V32" s="36">
        <v>23055</v>
      </c>
      <c r="W32" s="36">
        <v>5464</v>
      </c>
    </row>
    <row r="33" spans="1:23">
      <c r="A33" s="75">
        <v>2007</v>
      </c>
      <c r="B33" s="36" t="s">
        <v>4</v>
      </c>
      <c r="C33" s="36">
        <v>513</v>
      </c>
      <c r="D33" s="36">
        <v>22513</v>
      </c>
      <c r="E33" s="233">
        <v>11549</v>
      </c>
      <c r="F33" s="75"/>
      <c r="G33" s="75">
        <v>2007</v>
      </c>
      <c r="H33" s="36" t="s">
        <v>28</v>
      </c>
      <c r="I33" s="36">
        <v>18</v>
      </c>
      <c r="J33" s="36">
        <v>18500</v>
      </c>
      <c r="K33" s="36">
        <v>333</v>
      </c>
      <c r="L33" s="75"/>
      <c r="M33" s="75">
        <v>2007</v>
      </c>
      <c r="N33" s="36" t="s">
        <v>29</v>
      </c>
      <c r="O33" s="36">
        <v>115</v>
      </c>
      <c r="P33" s="36">
        <v>19417</v>
      </c>
      <c r="Q33" s="36">
        <v>2233</v>
      </c>
      <c r="R33" s="75"/>
      <c r="S33" s="75">
        <v>2007</v>
      </c>
      <c r="T33" s="36" t="s">
        <v>30</v>
      </c>
      <c r="U33" s="36">
        <v>238</v>
      </c>
      <c r="V33" s="36">
        <v>23239</v>
      </c>
      <c r="W33" s="36">
        <v>5531</v>
      </c>
    </row>
    <row r="34" spans="1:23">
      <c r="A34" s="75">
        <v>2013</v>
      </c>
      <c r="B34" s="36" t="s">
        <v>4</v>
      </c>
      <c r="C34" s="524">
        <f>'Milking Cows by State'!Y64</f>
        <v>573</v>
      </c>
      <c r="D34" s="524">
        <f>'Milking Cows by State'!AP64</f>
        <v>23440</v>
      </c>
      <c r="E34" s="233">
        <f>D34*C34/1000</f>
        <v>13431.12</v>
      </c>
      <c r="F34" s="75"/>
      <c r="G34" s="75">
        <v>2013</v>
      </c>
      <c r="H34" s="36" t="s">
        <v>28</v>
      </c>
      <c r="I34" s="524">
        <f>'Milking Cows by State'!Y63</f>
        <v>14</v>
      </c>
      <c r="J34" s="524">
        <f>'Milking Cows by State'!AP63</f>
        <v>21286</v>
      </c>
      <c r="K34" s="233">
        <f>J34*I34/1000</f>
        <v>298.00400000000002</v>
      </c>
      <c r="L34" s="75"/>
      <c r="M34" s="75">
        <v>2013</v>
      </c>
      <c r="N34" s="36" t="s">
        <v>29</v>
      </c>
      <c r="O34" s="524">
        <f>'Milking Cows by State'!Y74</f>
        <v>123</v>
      </c>
      <c r="P34" s="524">
        <f>'Milking Cows by State'!AP74</f>
        <v>20439</v>
      </c>
      <c r="Q34" s="233">
        <f>P34*O34/1000</f>
        <v>2513.9969999999998</v>
      </c>
      <c r="R34" s="75"/>
      <c r="S34" s="75">
        <v>2013</v>
      </c>
      <c r="T34" s="36" t="s">
        <v>30</v>
      </c>
      <c r="U34" s="524">
        <f>'Milking Cows by State'!Y73</f>
        <v>266</v>
      </c>
      <c r="V34" s="524">
        <f>'Milking Cows by State'!AP73</f>
        <v>23820</v>
      </c>
      <c r="W34" s="233">
        <f>V34*U34/1000</f>
        <v>6336.12</v>
      </c>
    </row>
    <row r="37" spans="1:23" customFormat="1"/>
    <row r="38" spans="1:23" customFormat="1"/>
    <row r="39" spans="1:23" customFormat="1"/>
    <row r="40" spans="1:23" customFormat="1"/>
    <row r="41" spans="1:23" customFormat="1"/>
    <row r="42" spans="1:23" customFormat="1"/>
    <row r="43" spans="1:23" customFormat="1"/>
    <row r="44" spans="1:23" customFormat="1"/>
    <row r="45" spans="1:23" customFormat="1"/>
    <row r="46" spans="1:23" customFormat="1"/>
    <row r="47" spans="1:23" customFormat="1"/>
    <row r="48" spans="1:23"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sheetData>
  <phoneticPr fontId="17"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sheetPr codeName="Sheet12"/>
  <dimension ref="A1:Q28"/>
  <sheetViews>
    <sheetView workbookViewId="0">
      <selection activeCell="F29" sqref="F29"/>
    </sheetView>
  </sheetViews>
  <sheetFormatPr defaultRowHeight="12.75"/>
  <cols>
    <col min="1" max="1" width="9.140625" style="34"/>
    <col min="2" max="2" width="12.5703125" style="34" customWidth="1"/>
    <col min="3" max="3" width="7.7109375" style="34" bestFit="1" customWidth="1"/>
    <col min="4" max="4" width="7.5703125" style="34" customWidth="1"/>
    <col min="5" max="6" width="7.42578125" style="34" customWidth="1"/>
    <col min="7" max="7" width="7.5703125" style="34" customWidth="1"/>
    <col min="8" max="8" width="11.28515625" style="34" bestFit="1" customWidth="1"/>
    <col min="9" max="9" width="10.140625" style="34" customWidth="1"/>
    <col min="10" max="10" width="8.7109375" style="34" bestFit="1" customWidth="1"/>
    <col min="11" max="16384" width="9.140625" style="34"/>
  </cols>
  <sheetData>
    <row r="1" spans="1:17">
      <c r="A1" s="224" t="s">
        <v>176</v>
      </c>
      <c r="G1" s="34" t="s">
        <v>355</v>
      </c>
    </row>
    <row r="2" spans="1:17" ht="39" thickBot="1">
      <c r="A2" s="74" t="s">
        <v>166</v>
      </c>
      <c r="B2" s="74" t="s">
        <v>0</v>
      </c>
      <c r="C2" s="74" t="s">
        <v>353</v>
      </c>
      <c r="D2" s="74" t="s">
        <v>354</v>
      </c>
      <c r="E2" s="74" t="s">
        <v>179</v>
      </c>
      <c r="F2" s="74" t="s">
        <v>180</v>
      </c>
      <c r="G2" s="74" t="s">
        <v>181</v>
      </c>
      <c r="H2" s="74" t="s">
        <v>785</v>
      </c>
      <c r="I2" s="74" t="s">
        <v>786</v>
      </c>
      <c r="J2" s="74" t="s">
        <v>133</v>
      </c>
      <c r="K2" s="74" t="s">
        <v>132</v>
      </c>
    </row>
    <row r="3" spans="1:17" ht="13.5" thickBot="1">
      <c r="A3" s="46">
        <v>2012</v>
      </c>
      <c r="B3" s="46" t="s">
        <v>4</v>
      </c>
      <c r="C3" s="441">
        <f>724+251</f>
        <v>975</v>
      </c>
      <c r="D3" s="441">
        <v>1526</v>
      </c>
      <c r="E3" s="441">
        <v>8170</v>
      </c>
      <c r="F3" s="441">
        <v>12258</v>
      </c>
      <c r="G3" s="441">
        <v>30728</v>
      </c>
      <c r="H3" s="441">
        <f>51011</f>
        <v>51011</v>
      </c>
      <c r="I3" s="441">
        <v>474093</v>
      </c>
      <c r="J3" s="442">
        <f>SUM(C3:E3)</f>
        <v>10671</v>
      </c>
      <c r="K3" s="443">
        <f>SUM(F3:I3)</f>
        <v>568090</v>
      </c>
    </row>
    <row r="4" spans="1:17" ht="13.5" thickBot="1">
      <c r="A4" s="46">
        <v>2012</v>
      </c>
      <c r="B4" s="46" t="s">
        <v>28</v>
      </c>
      <c r="C4" s="441">
        <f>619+187</f>
        <v>806</v>
      </c>
      <c r="D4" s="441">
        <v>133</v>
      </c>
      <c r="E4" s="441">
        <v>1345</v>
      </c>
      <c r="F4" s="441">
        <v>3578</v>
      </c>
      <c r="G4" s="441">
        <v>5203</v>
      </c>
      <c r="H4" s="441">
        <v>2882</v>
      </c>
      <c r="I4" s="441">
        <v>0</v>
      </c>
      <c r="J4" s="442">
        <f t="shared" ref="J4:J6" si="0">SUM(C4:E4)</f>
        <v>2284</v>
      </c>
      <c r="K4" s="443">
        <f t="shared" ref="K4:K6" si="1">SUM(F4:I4)</f>
        <v>11663</v>
      </c>
    </row>
    <row r="5" spans="1:17" ht="13.5" thickBot="1">
      <c r="A5" s="46">
        <v>2012</v>
      </c>
      <c r="B5" s="46" t="s">
        <v>29</v>
      </c>
      <c r="C5" s="441">
        <f>865+229</f>
        <v>1094</v>
      </c>
      <c r="D5" s="441">
        <v>1020</v>
      </c>
      <c r="E5" s="441">
        <v>2191</v>
      </c>
      <c r="F5" s="441">
        <v>6951</v>
      </c>
      <c r="G5" s="441">
        <v>24155</v>
      </c>
      <c r="H5" s="441">
        <f>16764</f>
        <v>16764</v>
      </c>
      <c r="I5" s="441">
        <v>73592</v>
      </c>
      <c r="J5" s="442">
        <f t="shared" si="0"/>
        <v>4305</v>
      </c>
      <c r="K5" s="443">
        <f t="shared" si="1"/>
        <v>121462</v>
      </c>
    </row>
    <row r="6" spans="1:17" ht="13.5" thickBot="1">
      <c r="A6" s="46">
        <v>2012</v>
      </c>
      <c r="B6" s="46" t="s">
        <v>30</v>
      </c>
      <c r="C6" s="441">
        <f>912+225</f>
        <v>1137</v>
      </c>
      <c r="D6" s="441">
        <v>1236</v>
      </c>
      <c r="E6" s="441">
        <v>2151</v>
      </c>
      <c r="F6" s="441">
        <v>9492</v>
      </c>
      <c r="G6" s="441">
        <v>33437</v>
      </c>
      <c r="H6" s="441">
        <f>40079</f>
        <v>40079</v>
      </c>
      <c r="I6" s="441">
        <v>179457</v>
      </c>
      <c r="J6" s="442">
        <f t="shared" si="0"/>
        <v>4524</v>
      </c>
      <c r="K6" s="443">
        <f t="shared" si="1"/>
        <v>262465</v>
      </c>
      <c r="P6" s="530" t="s">
        <v>808</v>
      </c>
      <c r="Q6" s="34" t="s">
        <v>824</v>
      </c>
    </row>
    <row r="7" spans="1:17">
      <c r="A7" s="46"/>
      <c r="B7" s="46"/>
      <c r="C7" s="440"/>
      <c r="D7" s="440"/>
      <c r="E7" s="440"/>
      <c r="F7" s="440"/>
      <c r="G7" s="440"/>
      <c r="H7" s="440"/>
      <c r="I7"/>
      <c r="J7"/>
      <c r="P7" s="732"/>
    </row>
    <row r="8" spans="1:17" ht="12.75" customHeight="1">
      <c r="P8" s="732"/>
    </row>
    <row r="9" spans="1:17" ht="12.75" customHeight="1">
      <c r="A9" s="224" t="s">
        <v>176</v>
      </c>
      <c r="F9" s="34" t="s">
        <v>787</v>
      </c>
      <c r="P9" s="732" t="s">
        <v>809</v>
      </c>
      <c r="Q9" s="34">
        <v>1</v>
      </c>
    </row>
    <row r="10" spans="1:17" ht="38.25">
      <c r="A10" s="74" t="s">
        <v>166</v>
      </c>
      <c r="B10" s="74" t="s">
        <v>0</v>
      </c>
      <c r="C10" s="74" t="s">
        <v>177</v>
      </c>
      <c r="D10" s="74" t="s">
        <v>178</v>
      </c>
      <c r="E10" s="74" t="s">
        <v>179</v>
      </c>
      <c r="F10" s="74" t="s">
        <v>180</v>
      </c>
      <c r="G10" s="74" t="s">
        <v>181</v>
      </c>
      <c r="H10" s="74" t="s">
        <v>182</v>
      </c>
      <c r="I10" s="74" t="s">
        <v>133</v>
      </c>
      <c r="J10" s="74" t="s">
        <v>132</v>
      </c>
      <c r="P10" s="732" t="s">
        <v>810</v>
      </c>
      <c r="Q10" s="34">
        <v>11</v>
      </c>
    </row>
    <row r="11" spans="1:17">
      <c r="A11" s="75">
        <v>2000</v>
      </c>
      <c r="B11" s="75" t="s">
        <v>170</v>
      </c>
      <c r="C11" s="206">
        <v>1.4999999999999999E-2</v>
      </c>
      <c r="D11" s="206">
        <v>7.4999999999999997E-2</v>
      </c>
      <c r="E11" s="206">
        <v>0.25</v>
      </c>
      <c r="F11" s="206">
        <v>0.28999999999999998</v>
      </c>
      <c r="G11" s="206">
        <v>0.21</v>
      </c>
      <c r="H11" s="206">
        <v>0.16</v>
      </c>
      <c r="I11" s="206">
        <v>0.34</v>
      </c>
      <c r="J11" s="206">
        <v>0.66</v>
      </c>
      <c r="P11" s="732"/>
    </row>
    <row r="12" spans="1:17">
      <c r="A12" s="75">
        <v>2001</v>
      </c>
      <c r="B12" s="75" t="s">
        <v>170</v>
      </c>
      <c r="C12" s="206">
        <v>1.4999999999999999E-2</v>
      </c>
      <c r="D12" s="206">
        <v>6.5000000000000002E-2</v>
      </c>
      <c r="E12" s="206">
        <v>0.25</v>
      </c>
      <c r="F12" s="206">
        <v>0.26</v>
      </c>
      <c r="G12" s="206">
        <v>0.21</v>
      </c>
      <c r="H12" s="206">
        <v>0.2</v>
      </c>
      <c r="I12" s="206">
        <v>0.33</v>
      </c>
      <c r="J12" s="206">
        <v>0.67</v>
      </c>
      <c r="P12" s="732"/>
    </row>
    <row r="13" spans="1:17">
      <c r="A13" s="75">
        <v>2002</v>
      </c>
      <c r="B13" s="75" t="s">
        <v>170</v>
      </c>
      <c r="C13" s="206">
        <v>1.4999999999999999E-2</v>
      </c>
      <c r="D13" s="206">
        <v>0.06</v>
      </c>
      <c r="E13" s="206">
        <v>0.25</v>
      </c>
      <c r="F13" s="206">
        <v>0.23</v>
      </c>
      <c r="G13" s="206">
        <v>0.21</v>
      </c>
      <c r="H13" s="206">
        <v>0.23499999999999999</v>
      </c>
      <c r="I13" s="206">
        <v>0.32500000000000001</v>
      </c>
      <c r="J13" s="206">
        <v>0.67500000000000004</v>
      </c>
      <c r="P13" s="733" t="s">
        <v>811</v>
      </c>
      <c r="Q13" s="34">
        <v>2</v>
      </c>
    </row>
    <row r="14" spans="1:17">
      <c r="A14" s="75">
        <v>2003</v>
      </c>
      <c r="B14" s="75" t="s">
        <v>170</v>
      </c>
      <c r="C14" s="206">
        <v>1.4999999999999999E-2</v>
      </c>
      <c r="D14" s="206">
        <v>5.5E-2</v>
      </c>
      <c r="E14" s="206">
        <v>0.25</v>
      </c>
      <c r="F14" s="206">
        <v>0.215</v>
      </c>
      <c r="G14" s="206">
        <v>0.2</v>
      </c>
      <c r="H14" s="206">
        <v>0.26500000000000001</v>
      </c>
      <c r="I14" s="206">
        <v>0.32</v>
      </c>
      <c r="J14" s="206">
        <v>0.68</v>
      </c>
      <c r="P14" s="732" t="s">
        <v>812</v>
      </c>
      <c r="Q14" s="34">
        <v>17</v>
      </c>
    </row>
    <row r="15" spans="1:17">
      <c r="A15" s="75">
        <v>2004</v>
      </c>
      <c r="B15" s="75" t="s">
        <v>170</v>
      </c>
      <c r="C15" s="206">
        <v>1.4999999999999999E-2</v>
      </c>
      <c r="D15" s="206">
        <v>5.5E-2</v>
      </c>
      <c r="E15" s="206">
        <v>0.24</v>
      </c>
      <c r="F15" s="206">
        <v>0.2</v>
      </c>
      <c r="G15" s="206">
        <v>0.2</v>
      </c>
      <c r="H15" s="206">
        <v>0.28999999999999998</v>
      </c>
      <c r="I15" s="206">
        <v>0.31</v>
      </c>
      <c r="J15" s="206">
        <v>0.69</v>
      </c>
      <c r="P15" s="732" t="s">
        <v>813</v>
      </c>
      <c r="Q15" s="34">
        <v>12</v>
      </c>
    </row>
    <row r="16" spans="1:17">
      <c r="A16" s="75">
        <v>2005</v>
      </c>
      <c r="B16" s="75" t="s">
        <v>170</v>
      </c>
      <c r="C16" s="206">
        <v>0.01</v>
      </c>
      <c r="D16" s="206">
        <v>5.5E-2</v>
      </c>
      <c r="E16" s="206">
        <v>0.22</v>
      </c>
      <c r="F16" s="206">
        <v>0.185</v>
      </c>
      <c r="G16" s="206">
        <v>0.22</v>
      </c>
      <c r="H16" s="206">
        <v>0.31</v>
      </c>
      <c r="I16" s="206">
        <v>0.28499999999999998</v>
      </c>
      <c r="J16" s="206">
        <v>0.71499999999999997</v>
      </c>
      <c r="P16" s="732" t="s">
        <v>814</v>
      </c>
      <c r="Q16" s="34">
        <v>12</v>
      </c>
    </row>
    <row r="17" spans="1:17">
      <c r="A17" s="75">
        <v>2006</v>
      </c>
      <c r="B17" s="75" t="s">
        <v>170</v>
      </c>
      <c r="C17" s="206">
        <v>1.4999999999999999E-2</v>
      </c>
      <c r="D17" s="206">
        <v>0.06</v>
      </c>
      <c r="E17" s="206">
        <v>0.2</v>
      </c>
      <c r="F17" s="206">
        <v>0.19500000000000001</v>
      </c>
      <c r="G17" s="206">
        <v>0.22</v>
      </c>
      <c r="H17" s="206">
        <v>0.31</v>
      </c>
      <c r="I17" s="206">
        <v>0.27500000000000002</v>
      </c>
      <c r="J17" s="206">
        <v>0.72499999999999998</v>
      </c>
      <c r="P17" s="732"/>
    </row>
    <row r="18" spans="1:17">
      <c r="A18" s="75">
        <v>2007</v>
      </c>
      <c r="B18" s="75" t="s">
        <v>170</v>
      </c>
      <c r="C18" s="206">
        <v>0.02</v>
      </c>
      <c r="D18" s="206">
        <v>0.06</v>
      </c>
      <c r="E18" s="206">
        <v>0.18</v>
      </c>
      <c r="F18" s="206">
        <v>0.17</v>
      </c>
      <c r="G18" s="206">
        <v>0.22</v>
      </c>
      <c r="H18" s="206">
        <v>0.35</v>
      </c>
      <c r="I18" s="206">
        <v>0.26</v>
      </c>
      <c r="J18" s="206">
        <v>0.74</v>
      </c>
      <c r="P18" s="732" t="s">
        <v>815</v>
      </c>
      <c r="Q18" s="34">
        <v>2</v>
      </c>
    </row>
    <row r="19" spans="1:17">
      <c r="P19" s="732" t="s">
        <v>816</v>
      </c>
      <c r="Q19" s="34">
        <v>9</v>
      </c>
    </row>
    <row r="20" spans="1:17">
      <c r="B20" s="239" t="s">
        <v>0</v>
      </c>
      <c r="C20" s="239" t="s">
        <v>133</v>
      </c>
      <c r="D20" s="239" t="s">
        <v>132</v>
      </c>
      <c r="P20" s="732"/>
    </row>
    <row r="21" spans="1:17">
      <c r="B21" s="133" t="s">
        <v>4</v>
      </c>
      <c r="C21" s="390">
        <f t="shared" ref="C21:D24" si="2">J3/SUM($J3:$K3)</f>
        <v>1.8437662523908833E-2</v>
      </c>
      <c r="D21" s="390">
        <f t="shared" si="2"/>
        <v>0.98156233747609112</v>
      </c>
      <c r="P21" s="732" t="s">
        <v>817</v>
      </c>
      <c r="Q21" s="34">
        <v>4</v>
      </c>
    </row>
    <row r="22" spans="1:17">
      <c r="B22" s="391" t="s">
        <v>28</v>
      </c>
      <c r="C22" s="390">
        <f t="shared" si="2"/>
        <v>0.16376281637628165</v>
      </c>
      <c r="D22" s="390">
        <f t="shared" si="2"/>
        <v>0.83623718362371835</v>
      </c>
      <c r="P22" s="732" t="s">
        <v>818</v>
      </c>
      <c r="Q22" s="34">
        <v>31</v>
      </c>
    </row>
    <row r="23" spans="1:17">
      <c r="B23" s="391" t="s">
        <v>29</v>
      </c>
      <c r="C23" s="390">
        <f t="shared" si="2"/>
        <v>3.4229964935157869E-2</v>
      </c>
      <c r="D23" s="390">
        <f t="shared" si="2"/>
        <v>0.96577003506484216</v>
      </c>
      <c r="P23" s="732" t="s">
        <v>819</v>
      </c>
      <c r="Q23" s="34">
        <v>12</v>
      </c>
    </row>
    <row r="24" spans="1:17">
      <c r="B24" s="391" t="s">
        <v>30</v>
      </c>
      <c r="C24" s="390">
        <f t="shared" si="2"/>
        <v>1.6944518313488571E-2</v>
      </c>
      <c r="D24" s="390">
        <f t="shared" si="2"/>
        <v>0.98305548168651147</v>
      </c>
      <c r="P24" s="732" t="s">
        <v>820</v>
      </c>
      <c r="Q24" s="34">
        <v>2</v>
      </c>
    </row>
    <row r="25" spans="1:17">
      <c r="P25" s="732"/>
    </row>
    <row r="26" spans="1:17">
      <c r="P26" s="733" t="s">
        <v>821</v>
      </c>
      <c r="Q26" s="34">
        <f>SUM(Q9:Q24)</f>
        <v>115</v>
      </c>
    </row>
    <row r="27" spans="1:17">
      <c r="P27" s="733" t="s">
        <v>822</v>
      </c>
      <c r="Q27" s="34">
        <v>397</v>
      </c>
    </row>
    <row r="28" spans="1:17">
      <c r="P28" s="734" t="s">
        <v>823</v>
      </c>
      <c r="Q28" s="223">
        <f>Q26/Q27</f>
        <v>0.28967254408060455</v>
      </c>
    </row>
  </sheetData>
  <phoneticPr fontId="17" type="noConversion"/>
  <pageMargins left="0.75" right="0.75" top="1" bottom="1" header="0.5" footer="0.5"/>
  <pageSetup orientation="portrait" horizontalDpi="300" verticalDpi="300" r:id="rId1"/>
  <headerFooter alignWithMargins="0"/>
  <legacyDrawing r:id="rId2"/>
</worksheet>
</file>

<file path=xl/worksheets/sheet14.xml><?xml version="1.0" encoding="utf-8"?>
<worksheet xmlns="http://schemas.openxmlformats.org/spreadsheetml/2006/main" xmlns:r="http://schemas.openxmlformats.org/officeDocument/2006/relationships">
  <sheetPr codeName="Sheet13"/>
  <dimension ref="A1:EA158"/>
  <sheetViews>
    <sheetView workbookViewId="0"/>
  </sheetViews>
  <sheetFormatPr defaultColWidth="16" defaultRowHeight="12.75"/>
  <cols>
    <col min="1" max="1" width="6" style="444" customWidth="1"/>
    <col min="2" max="2" width="22.7109375" style="444" customWidth="1"/>
    <col min="3" max="3" width="4.85546875" style="444" hidden="1" customWidth="1"/>
    <col min="4" max="4" width="8.7109375" style="444" hidden="1" customWidth="1"/>
    <col min="5" max="5" width="2.28515625" style="444" hidden="1" customWidth="1"/>
    <col min="6" max="6" width="8.7109375" style="444" hidden="1" customWidth="1"/>
    <col min="7" max="7" width="2.28515625" style="444" hidden="1" customWidth="1"/>
    <col min="8" max="8" width="8.7109375" style="444" hidden="1" customWidth="1"/>
    <col min="9" max="9" width="2.28515625" style="444" hidden="1" customWidth="1"/>
    <col min="10" max="10" width="8.7109375" style="444" hidden="1" customWidth="1"/>
    <col min="11" max="11" width="2.28515625" style="444" hidden="1" customWidth="1"/>
    <col min="12" max="12" width="8.7109375" style="444" hidden="1" customWidth="1"/>
    <col min="13" max="13" width="2.28515625" style="444" hidden="1" customWidth="1"/>
    <col min="14" max="14" width="8.7109375" style="444" hidden="1" customWidth="1"/>
    <col min="15" max="15" width="2.28515625" style="444" hidden="1" customWidth="1"/>
    <col min="16" max="16" width="8.7109375" style="444" hidden="1" customWidth="1"/>
    <col min="17" max="17" width="2.28515625" style="444" customWidth="1"/>
    <col min="18" max="18" width="8.7109375" style="444" hidden="1" customWidth="1"/>
    <col min="19" max="19" width="2.28515625" style="444" customWidth="1"/>
    <col min="20" max="20" width="8.7109375" style="444" hidden="1" customWidth="1"/>
    <col min="21" max="22" width="8.7109375" style="444" customWidth="1"/>
    <col min="23" max="25" width="10" style="444" customWidth="1"/>
    <col min="26" max="26" width="2.28515625" style="444" customWidth="1"/>
    <col min="27" max="27" width="6" style="444" hidden="1" customWidth="1"/>
    <col min="28" max="28" width="22.7109375" style="444" hidden="1" customWidth="1"/>
    <col min="29" max="37" width="11.28515625" style="444" hidden="1" customWidth="1"/>
    <col min="38" max="41" width="11.28515625" style="444" customWidth="1"/>
    <col min="42" max="42" width="12" style="444" customWidth="1"/>
    <col min="43" max="43" width="2.140625" style="444" customWidth="1"/>
    <col min="44" max="44" width="6" style="444" customWidth="1"/>
    <col min="45" max="45" width="22.7109375" style="444" customWidth="1"/>
    <col min="46" max="46" width="13.85546875" style="444" hidden="1" customWidth="1"/>
    <col min="47" max="47" width="8.7109375" style="351" hidden="1" customWidth="1"/>
    <col min="48" max="48" width="13.85546875" style="351" hidden="1" customWidth="1"/>
    <col min="49" max="49" width="8.7109375" style="351" hidden="1" customWidth="1"/>
    <col min="50" max="50" width="13.85546875" style="444" hidden="1" customWidth="1"/>
    <col min="51" max="51" width="8.7109375" style="444" hidden="1" customWidth="1"/>
    <col min="52" max="52" width="13.85546875" style="444" hidden="1" customWidth="1"/>
    <col min="53" max="53" width="8.7109375" style="444" hidden="1" customWidth="1"/>
    <col min="54" max="54" width="13.85546875" style="444" hidden="1" customWidth="1"/>
    <col min="55" max="55" width="8.7109375" style="444" hidden="1" customWidth="1"/>
    <col min="56" max="56" width="13.85546875" style="444" hidden="1" customWidth="1"/>
    <col min="57" max="57" width="8.7109375" style="445" hidden="1" customWidth="1"/>
    <col min="58" max="58" width="13.85546875" style="444" hidden="1" customWidth="1"/>
    <col min="59" max="59" width="8.7109375" style="444" hidden="1" customWidth="1"/>
    <col min="60" max="60" width="11.7109375" style="444" bestFit="1" customWidth="1"/>
    <col min="61" max="61" width="8" style="444" bestFit="1" customWidth="1"/>
    <col min="62" max="62" width="13.85546875" style="444" customWidth="1"/>
    <col min="63" max="63" width="11.5703125" style="444" customWidth="1"/>
    <col min="64" max="64" width="13.85546875" style="444" customWidth="1"/>
    <col min="65" max="65" width="11.85546875" style="444" customWidth="1"/>
    <col min="66" max="66" width="13.85546875" style="444" customWidth="1"/>
    <col min="67" max="67" width="11" style="444" customWidth="1"/>
    <col min="68" max="68" width="13.85546875" style="444" customWidth="1"/>
    <col min="69" max="69" width="11.7109375" style="444" customWidth="1"/>
    <col min="70" max="70" width="13.85546875" style="444" customWidth="1"/>
    <col min="71" max="71" width="11.85546875" style="444" customWidth="1"/>
    <col min="72" max="72" width="11.42578125" style="444" customWidth="1"/>
    <col min="73" max="76" width="13.85546875" style="444" customWidth="1"/>
    <col min="77" max="80" width="16.28515625" style="444" customWidth="1"/>
    <col min="81" max="16384" width="16" style="444"/>
  </cols>
  <sheetData>
    <row r="1" spans="1:131">
      <c r="BR1" s="446"/>
      <c r="BS1" s="446"/>
      <c r="BT1" s="446"/>
      <c r="BU1" s="446"/>
      <c r="BV1" s="446"/>
      <c r="BW1" s="446"/>
      <c r="BX1" s="446"/>
      <c r="BY1" s="446"/>
      <c r="BZ1" s="446"/>
      <c r="CA1" s="446"/>
    </row>
    <row r="2" spans="1:131" s="450" customFormat="1" ht="19.5">
      <c r="A2" s="447"/>
      <c r="B2" s="448" t="s">
        <v>356</v>
      </c>
      <c r="C2" s="449"/>
      <c r="D2" s="449"/>
      <c r="E2" s="449"/>
      <c r="F2" s="449"/>
      <c r="G2" s="449"/>
      <c r="H2" s="449"/>
      <c r="I2" s="449"/>
      <c r="J2" s="447"/>
      <c r="K2" s="447"/>
      <c r="L2" s="447"/>
      <c r="M2" s="447"/>
      <c r="N2" s="447"/>
      <c r="O2" s="447"/>
      <c r="P2" s="447"/>
      <c r="Q2" s="447"/>
      <c r="R2" s="447"/>
      <c r="S2" s="447"/>
      <c r="T2" s="447"/>
      <c r="U2" s="447"/>
      <c r="V2" s="447"/>
      <c r="W2" s="447"/>
      <c r="X2" s="447"/>
      <c r="Y2" s="447"/>
      <c r="Z2" s="444"/>
      <c r="AA2" s="447"/>
      <c r="AB2" s="448"/>
      <c r="AC2" s="447"/>
      <c r="AD2" s="447"/>
      <c r="AE2" s="447"/>
      <c r="AF2" s="447"/>
      <c r="AG2" s="447"/>
      <c r="AH2" s="447"/>
      <c r="AI2" s="447"/>
      <c r="AN2" s="447"/>
      <c r="AO2" s="447"/>
      <c r="AP2" s="447"/>
      <c r="AQ2" s="447"/>
      <c r="AR2" s="447"/>
      <c r="AS2" s="448" t="s">
        <v>357</v>
      </c>
      <c r="AU2" s="352"/>
      <c r="AV2" s="352"/>
      <c r="AW2" s="352"/>
      <c r="BE2" s="451"/>
      <c r="BG2" s="452"/>
      <c r="BR2" s="447"/>
      <c r="BS2" s="447"/>
      <c r="BT2" s="447"/>
      <c r="BU2" s="447"/>
      <c r="BV2" s="447"/>
      <c r="BW2" s="447"/>
      <c r="BX2" s="447"/>
      <c r="BY2" s="447"/>
      <c r="BZ2" s="447"/>
      <c r="CA2" s="447"/>
      <c r="CR2" s="453"/>
    </row>
    <row r="3" spans="1:131" ht="15.75">
      <c r="A3" s="446"/>
      <c r="B3" s="454"/>
      <c r="C3" s="454"/>
      <c r="D3" s="454"/>
      <c r="E3" s="454"/>
      <c r="F3" s="454"/>
      <c r="G3" s="454"/>
      <c r="H3" s="454"/>
      <c r="I3" s="454"/>
      <c r="J3" s="446"/>
      <c r="K3" s="446"/>
      <c r="L3" s="446"/>
      <c r="M3" s="446"/>
      <c r="N3" s="446"/>
      <c r="O3" s="446"/>
      <c r="P3" s="446"/>
      <c r="Q3" s="446"/>
      <c r="R3" s="446"/>
      <c r="S3" s="446"/>
      <c r="T3" s="446"/>
      <c r="U3" s="446"/>
      <c r="V3" s="446"/>
      <c r="W3" s="446"/>
      <c r="X3" s="446"/>
      <c r="Y3" s="446"/>
      <c r="Z3" s="446"/>
      <c r="AA3" s="446"/>
      <c r="AB3" s="454"/>
      <c r="AC3" s="446"/>
      <c r="AD3" s="446"/>
      <c r="AE3" s="446"/>
      <c r="AF3" s="446"/>
      <c r="AG3" s="446"/>
      <c r="AH3" s="446"/>
      <c r="AI3" s="446"/>
      <c r="AJ3" s="446"/>
      <c r="AK3" s="446"/>
      <c r="AL3" s="446"/>
      <c r="AM3" s="446"/>
      <c r="AN3" s="446"/>
      <c r="AO3" s="446"/>
      <c r="AP3" s="446"/>
      <c r="AQ3" s="446"/>
      <c r="AR3" s="446"/>
      <c r="AS3" s="454"/>
      <c r="BR3" s="446"/>
      <c r="BS3" s="446"/>
      <c r="BT3" s="446"/>
      <c r="BU3" s="446"/>
      <c r="BV3" s="446"/>
      <c r="BW3" s="446"/>
      <c r="BX3" s="446"/>
      <c r="BY3" s="446"/>
      <c r="BZ3" s="446"/>
      <c r="CA3" s="446"/>
      <c r="CR3" s="455"/>
    </row>
    <row r="4" spans="1:131" ht="19.5">
      <c r="A4" s="456" t="s">
        <v>282</v>
      </c>
      <c r="B4" s="457"/>
      <c r="C4" s="458"/>
      <c r="D4" s="458"/>
      <c r="E4" s="458"/>
      <c r="F4" s="458"/>
      <c r="G4" s="458"/>
      <c r="H4" s="458"/>
      <c r="I4" s="458"/>
      <c r="J4" s="458"/>
      <c r="K4" s="458"/>
      <c r="L4" s="459"/>
      <c r="M4" s="459"/>
      <c r="N4" s="460"/>
      <c r="O4" s="460"/>
      <c r="P4" s="458"/>
      <c r="Q4" s="458"/>
      <c r="R4" s="721" t="s">
        <v>283</v>
      </c>
      <c r="S4" s="721"/>
      <c r="T4" s="721"/>
      <c r="U4" s="721"/>
      <c r="V4" s="721"/>
      <c r="W4" s="721"/>
      <c r="X4" s="721"/>
      <c r="Y4" s="721"/>
      <c r="Z4" s="722"/>
      <c r="AA4" s="456" t="s">
        <v>282</v>
      </c>
      <c r="AB4" s="457"/>
      <c r="AC4" s="458"/>
      <c r="AD4" s="458"/>
      <c r="AE4" s="458"/>
      <c r="AF4" s="458"/>
      <c r="AG4" s="458"/>
      <c r="AH4" s="721"/>
      <c r="AI4" s="721"/>
      <c r="AJ4" s="721" t="s">
        <v>284</v>
      </c>
      <c r="AK4" s="721"/>
      <c r="AL4" s="721"/>
      <c r="AM4" s="721"/>
      <c r="AN4" s="721"/>
      <c r="AO4" s="459"/>
      <c r="AP4" s="461"/>
      <c r="AQ4" s="459"/>
      <c r="AR4" s="456" t="s">
        <v>282</v>
      </c>
      <c r="AS4" s="457"/>
      <c r="AT4" s="458"/>
      <c r="AU4" s="353"/>
      <c r="AV4" s="353"/>
      <c r="AW4" s="353"/>
      <c r="AX4" s="458"/>
      <c r="AY4" s="458"/>
      <c r="AZ4" s="458"/>
      <c r="BA4" s="458"/>
      <c r="BB4" s="460"/>
      <c r="BC4" s="459"/>
      <c r="BD4" s="458"/>
      <c r="BE4" s="459"/>
      <c r="BF4" s="458"/>
      <c r="BG4" s="458"/>
      <c r="BH4" s="721" t="s">
        <v>285</v>
      </c>
      <c r="BI4" s="721"/>
      <c r="BJ4" s="721"/>
      <c r="BK4" s="721"/>
      <c r="BL4" s="721"/>
      <c r="BM4" s="721"/>
      <c r="BN4" s="721"/>
      <c r="BO4" s="721"/>
      <c r="BP4" s="721"/>
      <c r="BQ4" s="721"/>
      <c r="BR4" s="724"/>
      <c r="BS4" s="725"/>
      <c r="BT4" s="462"/>
      <c r="BU4" s="463"/>
      <c r="BV4" s="464"/>
      <c r="BW4" s="464"/>
      <c r="BX4" s="446"/>
      <c r="BY4" s="465"/>
      <c r="BZ4" s="465"/>
      <c r="CA4" s="465"/>
      <c r="CB4" s="465"/>
      <c r="CC4" s="465"/>
      <c r="CD4" s="465"/>
      <c r="CE4" s="465"/>
      <c r="CF4" s="465"/>
      <c r="CG4" s="465"/>
      <c r="CH4" s="465"/>
      <c r="CI4" s="465"/>
      <c r="CJ4" s="465"/>
      <c r="CK4" s="446"/>
      <c r="CL4" s="446"/>
      <c r="CM4" s="446"/>
      <c r="CN4" s="446"/>
      <c r="CO4" s="446"/>
      <c r="CP4" s="446"/>
      <c r="CQ4" s="446"/>
      <c r="CR4" s="446"/>
      <c r="CS4" s="446"/>
      <c r="CT4" s="446"/>
      <c r="CU4" s="446"/>
      <c r="CV4" s="446"/>
      <c r="CW4" s="446"/>
      <c r="CX4" s="446"/>
      <c r="CY4" s="446"/>
      <c r="CZ4" s="446"/>
      <c r="DA4" s="446"/>
      <c r="DB4" s="446"/>
      <c r="DC4" s="446"/>
      <c r="DD4" s="446"/>
      <c r="DE4" s="446"/>
      <c r="DF4" s="446"/>
      <c r="DG4" s="446"/>
      <c r="DH4" s="446"/>
      <c r="DI4" s="446"/>
      <c r="DJ4" s="446"/>
      <c r="DK4" s="446"/>
      <c r="DL4" s="446"/>
      <c r="DM4" s="446"/>
      <c r="DN4" s="446"/>
      <c r="DO4" s="446"/>
      <c r="DP4" s="446"/>
      <c r="DQ4" s="446"/>
      <c r="DR4" s="446"/>
      <c r="DS4" s="446"/>
      <c r="DT4" s="446"/>
      <c r="DU4" s="446"/>
      <c r="DV4" s="446"/>
      <c r="DW4" s="446"/>
      <c r="DX4" s="446"/>
      <c r="DY4" s="446"/>
      <c r="DZ4" s="446"/>
      <c r="EA4" s="446"/>
    </row>
    <row r="5" spans="1:131" ht="18" customHeight="1">
      <c r="A5" s="462"/>
      <c r="B5" s="466"/>
      <c r="C5" s="354"/>
      <c r="D5" s="354" t="s">
        <v>286</v>
      </c>
      <c r="E5" s="354"/>
      <c r="F5" s="354">
        <v>1996</v>
      </c>
      <c r="G5" s="354"/>
      <c r="H5" s="355" t="s">
        <v>287</v>
      </c>
      <c r="I5" s="356"/>
      <c r="J5" s="355" t="s">
        <v>288</v>
      </c>
      <c r="K5" s="355"/>
      <c r="L5" s="355" t="s">
        <v>289</v>
      </c>
      <c r="M5" s="355"/>
      <c r="N5" s="355" t="s">
        <v>290</v>
      </c>
      <c r="O5" s="355"/>
      <c r="P5" s="355">
        <v>2005</v>
      </c>
      <c r="Q5" s="355">
        <v>2006</v>
      </c>
      <c r="R5" s="355">
        <v>2007</v>
      </c>
      <c r="S5" s="356">
        <v>2008</v>
      </c>
      <c r="T5" s="356">
        <v>2008</v>
      </c>
      <c r="U5" s="355">
        <v>2009</v>
      </c>
      <c r="V5" s="356">
        <v>2010</v>
      </c>
      <c r="W5" s="355" t="s">
        <v>358</v>
      </c>
      <c r="X5" s="355" t="s">
        <v>359</v>
      </c>
      <c r="Y5" s="355" t="s">
        <v>360</v>
      </c>
      <c r="Z5" s="457"/>
      <c r="AA5" s="462"/>
      <c r="AB5" s="466"/>
      <c r="AC5" s="354" t="s">
        <v>286</v>
      </c>
      <c r="AD5" s="354">
        <v>1996</v>
      </c>
      <c r="AE5" s="357" t="s">
        <v>287</v>
      </c>
      <c r="AF5" s="357" t="s">
        <v>288</v>
      </c>
      <c r="AG5" s="357" t="s">
        <v>289</v>
      </c>
      <c r="AH5" s="355" t="s">
        <v>290</v>
      </c>
      <c r="AI5" s="355">
        <v>2005</v>
      </c>
      <c r="AJ5" s="355">
        <v>2007</v>
      </c>
      <c r="AK5" s="355">
        <v>2008</v>
      </c>
      <c r="AL5" s="355">
        <v>2009</v>
      </c>
      <c r="AM5" s="356">
        <v>2010</v>
      </c>
      <c r="AN5" s="355" t="s">
        <v>358</v>
      </c>
      <c r="AO5" s="355" t="s">
        <v>359</v>
      </c>
      <c r="AP5" s="355" t="s">
        <v>360</v>
      </c>
      <c r="AQ5" s="467"/>
      <c r="AR5" s="462"/>
      <c r="AS5" s="466"/>
      <c r="AT5" s="356" t="s">
        <v>286</v>
      </c>
      <c r="AU5" s="354"/>
      <c r="AV5" s="356">
        <v>1996</v>
      </c>
      <c r="AW5" s="354"/>
      <c r="AX5" s="355" t="s">
        <v>287</v>
      </c>
      <c r="AY5" s="354"/>
      <c r="AZ5" s="355" t="s">
        <v>291</v>
      </c>
      <c r="BA5" s="356"/>
      <c r="BB5" s="355" t="s">
        <v>289</v>
      </c>
      <c r="BC5" s="355"/>
      <c r="BD5" s="355" t="s">
        <v>290</v>
      </c>
      <c r="BF5" s="355">
        <v>2005</v>
      </c>
      <c r="BG5" s="356"/>
      <c r="BH5" s="726">
        <v>2008</v>
      </c>
      <c r="BI5" s="726"/>
      <c r="BJ5" s="726">
        <v>2009</v>
      </c>
      <c r="BK5" s="726"/>
      <c r="BL5" s="726">
        <v>2010</v>
      </c>
      <c r="BM5" s="726"/>
      <c r="BN5" s="726" t="s">
        <v>358</v>
      </c>
      <c r="BO5" s="726"/>
      <c r="BP5" s="726" t="s">
        <v>361</v>
      </c>
      <c r="BQ5" s="727"/>
      <c r="BR5" s="728" t="s">
        <v>362</v>
      </c>
      <c r="BS5" s="729"/>
      <c r="BT5" s="358"/>
      <c r="BU5" s="358"/>
      <c r="BV5" s="358"/>
      <c r="BW5" s="358"/>
      <c r="BX5" s="358"/>
      <c r="BY5" s="358"/>
      <c r="BZ5" s="358"/>
      <c r="CA5" s="446"/>
    </row>
    <row r="6" spans="1:131" ht="18" customHeight="1">
      <c r="A6" s="446"/>
      <c r="B6" s="468"/>
      <c r="C6" s="446"/>
      <c r="D6" s="446"/>
      <c r="E6" s="446"/>
      <c r="F6" s="446"/>
      <c r="G6" s="446"/>
      <c r="H6" s="465"/>
      <c r="I6" s="465"/>
      <c r="J6" s="465"/>
      <c r="K6" s="465"/>
      <c r="L6" s="465"/>
      <c r="M6" s="465"/>
      <c r="N6" s="465"/>
      <c r="O6" s="465"/>
      <c r="P6" s="465"/>
      <c r="Q6" s="465"/>
      <c r="R6" s="465"/>
      <c r="S6" s="465"/>
      <c r="T6" s="465"/>
      <c r="U6" s="465"/>
      <c r="V6" s="465"/>
      <c r="W6" s="465"/>
      <c r="X6" s="465"/>
      <c r="Y6" s="465"/>
      <c r="Z6" s="468"/>
      <c r="AA6" s="446"/>
      <c r="AB6" s="468"/>
      <c r="AC6" s="465"/>
      <c r="AD6" s="465"/>
      <c r="AE6" s="465"/>
      <c r="AF6" s="465"/>
      <c r="AG6" s="465"/>
      <c r="AH6" s="465"/>
      <c r="AI6" s="465"/>
      <c r="AJ6" s="465"/>
      <c r="AK6" s="465"/>
      <c r="AL6" s="465"/>
      <c r="AM6" s="465"/>
      <c r="AN6" s="469"/>
      <c r="AO6" s="469"/>
      <c r="AP6" s="470"/>
      <c r="AQ6" s="446"/>
      <c r="AR6" s="446"/>
      <c r="AS6" s="468"/>
      <c r="AU6" s="359"/>
      <c r="AV6" s="360"/>
      <c r="AW6" s="360"/>
      <c r="AX6" s="471"/>
      <c r="AY6" s="359"/>
      <c r="BA6" s="359"/>
      <c r="BC6" s="359"/>
      <c r="BE6" s="472"/>
      <c r="BG6" s="470"/>
      <c r="BH6" s="446"/>
      <c r="BI6" s="470"/>
      <c r="BJ6" s="446"/>
      <c r="BK6" s="470"/>
      <c r="BL6" s="446"/>
      <c r="BM6" s="470"/>
      <c r="BN6" s="446"/>
      <c r="BO6" s="470"/>
      <c r="BP6" s="446"/>
      <c r="BQ6" s="470"/>
      <c r="BR6" s="446"/>
      <c r="BS6" s="470"/>
      <c r="BT6" s="465"/>
      <c r="BU6" s="465"/>
      <c r="BV6" s="465"/>
      <c r="BW6" s="446"/>
      <c r="BX6" s="446"/>
      <c r="BY6" s="446"/>
      <c r="BZ6" s="446"/>
      <c r="CA6" s="446"/>
    </row>
    <row r="7" spans="1:131" ht="18" customHeight="1">
      <c r="A7" s="446"/>
      <c r="B7" s="468"/>
      <c r="C7" s="446"/>
      <c r="D7" s="446"/>
      <c r="E7" s="446"/>
      <c r="F7" s="446"/>
      <c r="G7" s="446"/>
      <c r="H7" s="465"/>
      <c r="I7" s="465"/>
      <c r="K7" s="361"/>
      <c r="L7" s="465"/>
      <c r="M7" s="465"/>
      <c r="N7" s="465"/>
      <c r="P7" s="465"/>
      <c r="Q7" s="465"/>
      <c r="R7" s="361" t="s">
        <v>292</v>
      </c>
      <c r="S7" s="361"/>
      <c r="T7" s="723" t="s">
        <v>292</v>
      </c>
      <c r="U7" s="723"/>
      <c r="V7" s="723"/>
      <c r="W7" s="723"/>
      <c r="X7" s="723"/>
      <c r="Y7" s="723"/>
      <c r="Z7" s="468"/>
      <c r="AA7" s="473"/>
      <c r="AB7" s="473"/>
      <c r="AC7" s="473"/>
      <c r="AD7" s="473"/>
      <c r="AE7" s="473"/>
      <c r="AF7" s="473"/>
      <c r="AG7" s="473"/>
      <c r="AI7" s="361"/>
      <c r="AJ7" s="465" t="s">
        <v>293</v>
      </c>
      <c r="AK7" s="723" t="s">
        <v>293</v>
      </c>
      <c r="AL7" s="723"/>
      <c r="AM7" s="723"/>
      <c r="AN7" s="723"/>
      <c r="AO7" s="723"/>
      <c r="AP7" s="723"/>
      <c r="AQ7" s="361"/>
      <c r="AR7" s="446"/>
      <c r="AS7" s="468"/>
      <c r="AT7" s="474" t="s">
        <v>294</v>
      </c>
      <c r="AU7" s="362" t="s">
        <v>295</v>
      </c>
      <c r="AV7" s="474" t="s">
        <v>294</v>
      </c>
      <c r="AW7" s="475" t="s">
        <v>295</v>
      </c>
      <c r="AX7" s="476" t="s">
        <v>294</v>
      </c>
      <c r="AY7" s="477" t="s">
        <v>295</v>
      </c>
      <c r="AZ7" s="474" t="s">
        <v>294</v>
      </c>
      <c r="BA7" s="477" t="s">
        <v>295</v>
      </c>
      <c r="BB7" s="474" t="s">
        <v>294</v>
      </c>
      <c r="BC7" s="477" t="s">
        <v>295</v>
      </c>
      <c r="BD7" s="474" t="s">
        <v>294</v>
      </c>
      <c r="BE7" s="363" t="s">
        <v>295</v>
      </c>
      <c r="BF7" s="474" t="s">
        <v>294</v>
      </c>
      <c r="BG7" s="477" t="s">
        <v>295</v>
      </c>
      <c r="BH7" s="478" t="s">
        <v>294</v>
      </c>
      <c r="BI7" s="363" t="s">
        <v>295</v>
      </c>
      <c r="BJ7" s="478" t="s">
        <v>294</v>
      </c>
      <c r="BK7" s="363" t="s">
        <v>295</v>
      </c>
      <c r="BL7" s="478" t="s">
        <v>294</v>
      </c>
      <c r="BM7" s="363" t="s">
        <v>295</v>
      </c>
      <c r="BN7" s="478" t="s">
        <v>294</v>
      </c>
      <c r="BO7" s="363" t="s">
        <v>295</v>
      </c>
      <c r="BP7" s="478" t="s">
        <v>294</v>
      </c>
      <c r="BQ7" s="363" t="s">
        <v>295</v>
      </c>
      <c r="BR7" s="478" t="s">
        <v>294</v>
      </c>
      <c r="BS7" s="363" t="s">
        <v>295</v>
      </c>
      <c r="BT7" s="361"/>
      <c r="BU7" s="361"/>
      <c r="BV7" s="361"/>
      <c r="BW7" s="446"/>
      <c r="BX7" s="446"/>
      <c r="BY7" s="446"/>
      <c r="BZ7" s="446"/>
      <c r="CA7" s="446"/>
    </row>
    <row r="8" spans="1:131" ht="15.75">
      <c r="A8" s="446"/>
      <c r="B8" s="468"/>
      <c r="C8" s="446"/>
      <c r="D8" s="446"/>
      <c r="E8" s="446"/>
      <c r="F8" s="446"/>
      <c r="G8" s="446"/>
      <c r="H8" s="446"/>
      <c r="I8" s="446"/>
      <c r="J8" s="446"/>
      <c r="K8" s="446"/>
      <c r="L8" s="446"/>
      <c r="M8" s="446"/>
      <c r="N8" s="446"/>
      <c r="O8" s="446"/>
      <c r="P8" s="446"/>
      <c r="Q8" s="446"/>
      <c r="R8" s="446"/>
      <c r="S8" s="446"/>
      <c r="T8" s="446"/>
      <c r="U8" s="446"/>
      <c r="V8" s="446"/>
      <c r="W8" s="446"/>
      <c r="X8" s="446"/>
      <c r="Y8" s="446"/>
      <c r="Z8" s="468"/>
      <c r="AA8" s="446"/>
      <c r="AB8" s="468"/>
      <c r="AC8" s="446"/>
      <c r="AD8" s="446"/>
      <c r="AE8" s="446"/>
      <c r="AF8" s="446"/>
      <c r="AG8" s="446"/>
      <c r="AH8" s="446"/>
      <c r="AI8" s="455"/>
      <c r="AJ8" s="446"/>
      <c r="AK8" s="446"/>
      <c r="AL8" s="446"/>
      <c r="AM8" s="446"/>
      <c r="AN8" s="446"/>
      <c r="AO8" s="446"/>
      <c r="AP8" s="468"/>
      <c r="AQ8" s="446"/>
      <c r="AR8" s="446"/>
      <c r="AS8" s="468"/>
      <c r="AU8" s="362"/>
      <c r="AV8" s="360"/>
      <c r="AW8" s="360"/>
      <c r="AX8" s="479"/>
      <c r="AY8" s="477"/>
      <c r="BA8" s="477"/>
      <c r="BC8" s="477"/>
      <c r="BE8" s="363"/>
      <c r="BG8" s="477"/>
      <c r="BH8" s="446"/>
      <c r="BI8" s="477"/>
      <c r="BJ8" s="475"/>
      <c r="BK8" s="477"/>
      <c r="BL8" s="446"/>
      <c r="BM8" s="468"/>
      <c r="BN8" s="446"/>
      <c r="BO8" s="468"/>
      <c r="BP8" s="446"/>
      <c r="BQ8" s="468"/>
      <c r="BR8" s="446"/>
      <c r="BS8" s="468"/>
      <c r="BT8" s="446"/>
      <c r="BU8" s="446"/>
      <c r="BV8" s="446"/>
      <c r="BW8" s="446"/>
      <c r="BX8" s="446"/>
      <c r="BY8" s="446"/>
      <c r="BZ8" s="446"/>
      <c r="CA8" s="446"/>
    </row>
    <row r="9" spans="1:131" ht="16.149999999999999" hidden="1" customHeight="1">
      <c r="A9" s="480" t="s">
        <v>296</v>
      </c>
      <c r="B9" s="481"/>
      <c r="C9" s="454"/>
      <c r="D9" s="365">
        <v>1742.2</v>
      </c>
      <c r="E9" s="365"/>
      <c r="F9" s="365">
        <v>1730.7</v>
      </c>
      <c r="G9" s="365"/>
      <c r="H9" s="482">
        <v>1724</v>
      </c>
      <c r="I9" s="482"/>
      <c r="J9" s="365">
        <v>1720</v>
      </c>
      <c r="L9" s="483">
        <v>1707</v>
      </c>
      <c r="N9" s="483">
        <v>1676.7</v>
      </c>
      <c r="P9" s="484">
        <v>1529.5</v>
      </c>
      <c r="Q9" s="483"/>
      <c r="R9" s="484">
        <v>1474.8999999999999</v>
      </c>
      <c r="S9" s="483"/>
      <c r="T9" s="484">
        <v>1470.6</v>
      </c>
      <c r="U9" s="484">
        <v>1451.1</v>
      </c>
      <c r="V9" s="484">
        <v>1436</v>
      </c>
      <c r="W9" s="484">
        <v>1429</v>
      </c>
      <c r="X9" s="484">
        <v>1420</v>
      </c>
      <c r="Y9" s="484">
        <v>1415</v>
      </c>
      <c r="Z9" s="468"/>
      <c r="AA9" s="480">
        <v>1429.1</v>
      </c>
      <c r="AB9" s="481">
        <v>1419.9</v>
      </c>
      <c r="AC9" s="364">
        <v>16308.69016186431</v>
      </c>
      <c r="AD9" s="364">
        <v>16325.301900964927</v>
      </c>
      <c r="AE9" s="364">
        <v>16548.723897911834</v>
      </c>
      <c r="AF9" s="364">
        <v>16890.116279069767</v>
      </c>
      <c r="AG9" s="365">
        <v>17278.265963678969</v>
      </c>
      <c r="AH9" s="455">
        <v>17513.568318721296</v>
      </c>
      <c r="AI9" s="484">
        <v>18482.968290290944</v>
      </c>
      <c r="AJ9" s="484">
        <v>19094.853888399215</v>
      </c>
      <c r="AK9" s="484">
        <v>19332.857337141304</v>
      </c>
      <c r="AL9" s="484">
        <v>19446.35104403556</v>
      </c>
      <c r="AM9" s="484">
        <v>19899.33166248956</v>
      </c>
      <c r="AN9" s="484">
        <v>20015.534252326641</v>
      </c>
      <c r="AO9" s="484">
        <v>20370</v>
      </c>
      <c r="AP9" s="484">
        <v>20731</v>
      </c>
      <c r="AQ9" s="485"/>
      <c r="AR9" s="480" t="s">
        <v>296</v>
      </c>
      <c r="AS9" s="481"/>
      <c r="AT9" s="455">
        <v>28413</v>
      </c>
      <c r="AU9" s="486">
        <v>18.296499497720422</v>
      </c>
      <c r="AV9" s="455">
        <v>28254.2</v>
      </c>
      <c r="AW9" s="486">
        <v>18.346168331103982</v>
      </c>
      <c r="AX9" s="487">
        <v>28530</v>
      </c>
      <c r="AY9" s="486">
        <v>18.277799488759761</v>
      </c>
      <c r="AZ9" s="488">
        <v>29051</v>
      </c>
      <c r="BA9" s="366">
        <v>18.472994111737101</v>
      </c>
      <c r="BB9" s="489">
        <v>29494</v>
      </c>
      <c r="BC9" s="490">
        <v>18.140218587973354</v>
      </c>
      <c r="BD9" s="489">
        <v>29365</v>
      </c>
      <c r="BE9" s="490">
        <v>17.542549568978391</v>
      </c>
      <c r="BF9" s="489">
        <v>28269.7</v>
      </c>
      <c r="BG9" s="486">
        <f>+(BF9/$BF$79)*100</f>
        <v>15.977837650560359</v>
      </c>
      <c r="BH9" s="454">
        <v>28430.9</v>
      </c>
      <c r="BI9" s="486">
        <f t="shared" ref="BI9:BI20" si="0">+(BH9/$BH$79)*100</f>
        <v>14.965025689235262</v>
      </c>
      <c r="BJ9" s="491">
        <v>28218.6</v>
      </c>
      <c r="BK9" s="486">
        <f t="shared" ref="BK9:BK20" si="1">+(BJ9/$BJ$79)*100</f>
        <v>14.904169149057536</v>
      </c>
      <c r="BL9" s="484">
        <v>28583.4</v>
      </c>
      <c r="BM9" s="486">
        <f t="shared" ref="BM9:BM20" si="2">+(BL9/$BL$79)*100</f>
        <v>14.897825478505746</v>
      </c>
      <c r="BN9" s="491">
        <v>28604.2</v>
      </c>
      <c r="BO9" s="486">
        <f t="shared" ref="BO9:BO20" si="3">+(BN9/$BN$79)*100</f>
        <v>14.581733911215377</v>
      </c>
      <c r="BP9" s="454">
        <v>28923</v>
      </c>
      <c r="BQ9" s="486">
        <f>+(BP9/$BP$79)*100</f>
        <v>14.422774849529016</v>
      </c>
      <c r="BR9" s="454">
        <v>29328</v>
      </c>
      <c r="BS9" s="492">
        <v>0.14580000000000001</v>
      </c>
      <c r="BT9" s="367"/>
      <c r="BU9" s="367"/>
      <c r="BV9" s="367"/>
      <c r="BW9" s="367"/>
      <c r="BX9" s="367"/>
      <c r="BY9" s="367"/>
      <c r="BZ9" s="367"/>
      <c r="CA9" s="454"/>
      <c r="CB9" s="455"/>
      <c r="CC9" s="455"/>
      <c r="CD9" s="455"/>
      <c r="CE9" s="455"/>
      <c r="CF9" s="455"/>
      <c r="CG9" s="455"/>
      <c r="CH9" s="455"/>
      <c r="CI9" s="455"/>
      <c r="CJ9" s="455"/>
    </row>
    <row r="10" spans="1:131" ht="15.75" hidden="1">
      <c r="B10" s="493" t="s">
        <v>297</v>
      </c>
      <c r="C10" s="379"/>
      <c r="D10" s="370">
        <v>40</v>
      </c>
      <c r="E10" s="370"/>
      <c r="F10" s="370">
        <v>41</v>
      </c>
      <c r="G10" s="370"/>
      <c r="H10" s="370">
        <v>41</v>
      </c>
      <c r="I10" s="368"/>
      <c r="J10" s="368">
        <v>41</v>
      </c>
      <c r="L10" s="494">
        <v>42</v>
      </c>
      <c r="N10" s="444">
        <v>39</v>
      </c>
      <c r="P10" s="495">
        <v>33</v>
      </c>
      <c r="R10" s="495">
        <v>33</v>
      </c>
      <c r="T10" s="495">
        <v>33</v>
      </c>
      <c r="U10" s="495">
        <v>33</v>
      </c>
      <c r="V10" s="495">
        <v>32</v>
      </c>
      <c r="W10" s="495">
        <v>32</v>
      </c>
      <c r="X10" s="495">
        <v>33</v>
      </c>
      <c r="Y10" s="495">
        <v>31</v>
      </c>
      <c r="Z10" s="468"/>
      <c r="AA10" s="444">
        <v>32</v>
      </c>
      <c r="AB10" s="378">
        <v>33</v>
      </c>
      <c r="AC10" s="369">
        <v>16025</v>
      </c>
      <c r="AD10" s="369">
        <v>15805</v>
      </c>
      <c r="AE10" s="369">
        <v>16146</v>
      </c>
      <c r="AF10" s="369">
        <v>16585</v>
      </c>
      <c r="AG10" s="444">
        <v>16405</v>
      </c>
      <c r="AH10" s="444">
        <v>17128</v>
      </c>
      <c r="AI10" s="495">
        <v>18030.303030303032</v>
      </c>
      <c r="AJ10" s="495">
        <v>17787.878787878788</v>
      </c>
      <c r="AK10" s="495">
        <v>18272.727272727272</v>
      </c>
      <c r="AL10" s="495">
        <v>18060.606060606064</v>
      </c>
      <c r="AM10" s="495">
        <v>18218.75</v>
      </c>
      <c r="AN10" s="495">
        <v>18687.5</v>
      </c>
      <c r="AO10" s="495">
        <v>18576</v>
      </c>
      <c r="AP10" s="495">
        <v>19548</v>
      </c>
      <c r="AQ10" s="496"/>
      <c r="AS10" s="378" t="s">
        <v>297</v>
      </c>
      <c r="AT10" s="444">
        <v>641</v>
      </c>
      <c r="AU10" s="477">
        <v>0.41277078020760888</v>
      </c>
      <c r="AV10" s="444">
        <v>648</v>
      </c>
      <c r="AW10" s="477">
        <v>0.42076282742230819</v>
      </c>
      <c r="AX10" s="479">
        <v>662</v>
      </c>
      <c r="AY10" s="477">
        <v>0.42411157593967619</v>
      </c>
      <c r="AZ10" s="368">
        <v>680</v>
      </c>
      <c r="BA10" s="363">
        <v>0.43239943533720798</v>
      </c>
      <c r="BB10" s="497">
        <v>689</v>
      </c>
      <c r="BC10" s="475">
        <v>0.42376790557786814</v>
      </c>
      <c r="BD10" s="497">
        <v>668</v>
      </c>
      <c r="BE10" s="498">
        <v>0.39906089262991884</v>
      </c>
      <c r="BF10" s="497">
        <v>595</v>
      </c>
      <c r="BG10" s="499">
        <f>+(BF10/$BF$79)*100</f>
        <v>0.33628985811959144</v>
      </c>
      <c r="BH10" s="446">
        <v>603</v>
      </c>
      <c r="BI10" s="499">
        <f t="shared" si="0"/>
        <v>0.31739798918109741</v>
      </c>
      <c r="BJ10" s="444">
        <v>596</v>
      </c>
      <c r="BK10" s="499">
        <f t="shared" si="1"/>
        <v>0.31478828903057882</v>
      </c>
      <c r="BL10" s="495">
        <v>583</v>
      </c>
      <c r="BM10" s="499">
        <f t="shared" si="2"/>
        <v>0.30386281037136414</v>
      </c>
      <c r="BN10" s="444">
        <v>598</v>
      </c>
      <c r="BO10" s="499">
        <f t="shared" si="3"/>
        <v>0.30484603236261792</v>
      </c>
      <c r="BP10" s="446">
        <v>613</v>
      </c>
      <c r="BQ10" s="499">
        <f>+(BP10/$BP$79)*100</f>
        <v>0.30567925121049982</v>
      </c>
      <c r="BR10" s="446">
        <v>606</v>
      </c>
      <c r="BS10" s="500">
        <v>3.0000000000000001E-3</v>
      </c>
      <c r="BT10" s="367"/>
      <c r="BU10" s="367"/>
      <c r="BV10" s="367"/>
      <c r="BW10" s="367"/>
      <c r="BX10" s="367"/>
      <c r="BY10" s="367"/>
      <c r="BZ10" s="367"/>
      <c r="CA10" s="446"/>
    </row>
    <row r="11" spans="1:131" ht="15.75" hidden="1">
      <c r="B11" s="378" t="s">
        <v>298</v>
      </c>
      <c r="C11" s="379"/>
      <c r="D11" s="370">
        <v>20</v>
      </c>
      <c r="E11" s="370"/>
      <c r="F11" s="370">
        <v>20</v>
      </c>
      <c r="G11" s="370"/>
      <c r="H11" s="368">
        <v>20</v>
      </c>
      <c r="I11" s="368"/>
      <c r="J11" s="368">
        <v>20</v>
      </c>
      <c r="L11" s="494">
        <v>19</v>
      </c>
      <c r="N11" s="444">
        <v>18</v>
      </c>
      <c r="P11" s="495">
        <v>16</v>
      </c>
      <c r="R11" s="495">
        <v>15</v>
      </c>
      <c r="T11" s="495">
        <v>15</v>
      </c>
      <c r="U11" s="495">
        <v>15</v>
      </c>
      <c r="V11" s="495">
        <v>15</v>
      </c>
      <c r="W11" s="495">
        <v>14</v>
      </c>
      <c r="X11" s="495">
        <v>14</v>
      </c>
      <c r="Y11" s="495">
        <v>13</v>
      </c>
      <c r="Z11" s="468"/>
      <c r="AA11" s="444">
        <v>14</v>
      </c>
      <c r="AB11" s="378">
        <v>14</v>
      </c>
      <c r="AC11" s="369">
        <v>16300</v>
      </c>
      <c r="AD11" s="369">
        <v>16200</v>
      </c>
      <c r="AE11" s="369">
        <v>16400</v>
      </c>
      <c r="AF11" s="369">
        <v>16650</v>
      </c>
      <c r="AG11" s="444">
        <v>16895</v>
      </c>
      <c r="AH11" s="444">
        <v>17333</v>
      </c>
      <c r="AI11" s="495">
        <v>18875</v>
      </c>
      <c r="AJ11" s="495">
        <v>19333.333333333332</v>
      </c>
      <c r="AK11" s="495">
        <v>19933.333333333332</v>
      </c>
      <c r="AL11" s="495">
        <v>19533.333333333336</v>
      </c>
      <c r="AM11" s="495">
        <v>19466.666666666664</v>
      </c>
      <c r="AN11" s="495">
        <v>20428.571428571428</v>
      </c>
      <c r="AO11" s="495">
        <v>19643</v>
      </c>
      <c r="AP11" s="495">
        <v>20846</v>
      </c>
      <c r="AQ11" s="496"/>
      <c r="AS11" s="378" t="s">
        <v>298</v>
      </c>
      <c r="AT11" s="444">
        <v>326</v>
      </c>
      <c r="AU11" s="477">
        <v>0.20992710506658424</v>
      </c>
      <c r="AV11" s="444">
        <v>324</v>
      </c>
      <c r="AW11" s="477">
        <v>0.2103814137111541</v>
      </c>
      <c r="AX11" s="479">
        <v>328</v>
      </c>
      <c r="AY11" s="477">
        <v>0.21013383218763412</v>
      </c>
      <c r="AZ11" s="368">
        <v>333</v>
      </c>
      <c r="BA11" s="363">
        <v>0.21174854701072096</v>
      </c>
      <c r="BB11" s="497">
        <v>321</v>
      </c>
      <c r="BC11" s="475">
        <v>0.19743033046516062</v>
      </c>
      <c r="BD11" s="497">
        <v>312</v>
      </c>
      <c r="BE11" s="498">
        <v>0.18638772230618963</v>
      </c>
      <c r="BF11" s="497">
        <v>302</v>
      </c>
      <c r="BG11" s="499">
        <f t="shared" ref="BG11:BG20" si="4">+(BF11/$BF$79)*100</f>
        <v>0.17068829773464977</v>
      </c>
      <c r="BH11" s="446">
        <v>299</v>
      </c>
      <c r="BI11" s="499">
        <f t="shared" si="0"/>
        <v>0.15738308252926722</v>
      </c>
      <c r="BJ11" s="444">
        <v>293</v>
      </c>
      <c r="BK11" s="499">
        <f t="shared" si="1"/>
        <v>0.15475330316436176</v>
      </c>
      <c r="BL11" s="495">
        <v>292</v>
      </c>
      <c r="BM11" s="499">
        <f t="shared" si="2"/>
        <v>0.15219200793900228</v>
      </c>
      <c r="BN11" s="444">
        <v>286</v>
      </c>
      <c r="BO11" s="499">
        <f t="shared" si="3"/>
        <v>0.14579592852125206</v>
      </c>
      <c r="BP11" s="446">
        <v>275</v>
      </c>
      <c r="BQ11" s="499">
        <f t="shared" ref="BQ11:BQ74" si="5">+(BP11/$BP$79)*100</f>
        <v>0.13713180111400888</v>
      </c>
      <c r="BR11" s="446">
        <v>271</v>
      </c>
      <c r="BS11" s="500">
        <v>1.2999999999999999E-3</v>
      </c>
      <c r="BT11" s="501"/>
      <c r="BU11" s="367"/>
      <c r="BV11" s="367"/>
      <c r="BW11" s="367"/>
      <c r="BX11" s="367"/>
      <c r="BY11" s="367"/>
      <c r="BZ11" s="367"/>
      <c r="CA11" s="446"/>
    </row>
    <row r="12" spans="1:131" ht="15.75" hidden="1">
      <c r="B12" s="378" t="s">
        <v>299</v>
      </c>
      <c r="C12" s="379"/>
      <c r="D12" s="370">
        <v>157</v>
      </c>
      <c r="E12" s="370"/>
      <c r="F12" s="370">
        <v>156</v>
      </c>
      <c r="G12" s="370"/>
      <c r="H12" s="368">
        <v>160</v>
      </c>
      <c r="I12" s="368"/>
      <c r="J12" s="368">
        <v>161</v>
      </c>
      <c r="L12" s="494">
        <v>160</v>
      </c>
      <c r="N12" s="444">
        <v>156</v>
      </c>
      <c r="P12" s="495">
        <v>143</v>
      </c>
      <c r="R12" s="495">
        <v>140</v>
      </c>
      <c r="T12" s="495">
        <v>140</v>
      </c>
      <c r="U12" s="495">
        <v>135</v>
      </c>
      <c r="V12" s="495">
        <v>136</v>
      </c>
      <c r="W12" s="495">
        <v>134</v>
      </c>
      <c r="X12" s="495">
        <v>133</v>
      </c>
      <c r="Y12" s="495">
        <v>134</v>
      </c>
      <c r="Z12" s="468"/>
      <c r="AA12" s="444">
        <v>134</v>
      </c>
      <c r="AB12" s="378">
        <v>133</v>
      </c>
      <c r="AC12" s="369">
        <v>16210</v>
      </c>
      <c r="AD12" s="369">
        <v>16467.948717948719</v>
      </c>
      <c r="AE12" s="369">
        <v>16250</v>
      </c>
      <c r="AF12" s="369">
        <v>16460</v>
      </c>
      <c r="AG12" s="444">
        <v>16938</v>
      </c>
      <c r="AH12" s="444">
        <v>17199</v>
      </c>
      <c r="AI12" s="495">
        <v>18468.53146853147</v>
      </c>
      <c r="AJ12" s="495">
        <v>18078.571428571428</v>
      </c>
      <c r="AK12" s="495">
        <v>18400</v>
      </c>
      <c r="AL12" s="495">
        <v>18288.888888888887</v>
      </c>
      <c r="AM12" s="495">
        <v>18411.764705882353</v>
      </c>
      <c r="AN12" s="495">
        <v>18940.298507462685</v>
      </c>
      <c r="AO12" s="495">
        <v>19316</v>
      </c>
      <c r="AP12" s="495">
        <v>19448</v>
      </c>
      <c r="AQ12" s="496"/>
      <c r="AS12" s="378" t="s">
        <v>299</v>
      </c>
      <c r="AT12" s="444">
        <v>2545</v>
      </c>
      <c r="AU12" s="477">
        <v>1.638848105504469</v>
      </c>
      <c r="AV12" s="444">
        <v>2569</v>
      </c>
      <c r="AW12" s="477">
        <v>1.6681168266171449</v>
      </c>
      <c r="AX12" s="479">
        <v>2600</v>
      </c>
      <c r="AY12" s="477">
        <v>1.6656950112434414</v>
      </c>
      <c r="AZ12" s="368">
        <v>2650</v>
      </c>
      <c r="BA12" s="363">
        <v>1.6850860347700016</v>
      </c>
      <c r="BB12" s="497">
        <v>2710</v>
      </c>
      <c r="BC12" s="475">
        <v>1.666779425422384</v>
      </c>
      <c r="BD12" s="497">
        <v>2683</v>
      </c>
      <c r="BE12" s="498">
        <v>1.6028149325240602</v>
      </c>
      <c r="BF12" s="497">
        <v>2641</v>
      </c>
      <c r="BG12" s="499">
        <f t="shared" si="4"/>
        <v>1.4926748156199008</v>
      </c>
      <c r="BH12" s="446">
        <v>2576</v>
      </c>
      <c r="BI12" s="499">
        <f t="shared" si="0"/>
        <v>1.3559157879444559</v>
      </c>
      <c r="BJ12" s="444">
        <v>2469</v>
      </c>
      <c r="BK12" s="499">
        <f t="shared" si="1"/>
        <v>1.3040474590880857</v>
      </c>
      <c r="BL12" s="495">
        <v>2504</v>
      </c>
      <c r="BM12" s="499">
        <f t="shared" si="2"/>
        <v>1.3050985886276087</v>
      </c>
      <c r="BN12" s="444">
        <v>2538</v>
      </c>
      <c r="BO12" s="499">
        <f t="shared" si="3"/>
        <v>1.2938114216326493</v>
      </c>
      <c r="BP12" s="446">
        <v>2569</v>
      </c>
      <c r="BQ12" s="499">
        <f t="shared" si="5"/>
        <v>1.281060352952323</v>
      </c>
      <c r="BR12" s="446">
        <v>2606</v>
      </c>
      <c r="BS12" s="500">
        <v>1.2999999999999999E-2</v>
      </c>
      <c r="BT12" s="367"/>
      <c r="BU12" s="367"/>
      <c r="BV12" s="367"/>
      <c r="BW12" s="367"/>
      <c r="BX12" s="367"/>
      <c r="BY12" s="367"/>
      <c r="BZ12" s="367"/>
      <c r="CA12" s="446"/>
    </row>
    <row r="13" spans="1:131" ht="15.75" hidden="1">
      <c r="B13" s="378" t="s">
        <v>300</v>
      </c>
      <c r="C13" s="379"/>
      <c r="D13" s="370">
        <v>28</v>
      </c>
      <c r="E13" s="370"/>
      <c r="F13" s="370">
        <v>27</v>
      </c>
      <c r="G13" s="370"/>
      <c r="H13" s="368">
        <v>26</v>
      </c>
      <c r="I13" s="368"/>
      <c r="J13" s="368">
        <v>26</v>
      </c>
      <c r="L13" s="494">
        <v>25</v>
      </c>
      <c r="N13" s="444">
        <v>22</v>
      </c>
      <c r="P13" s="495">
        <v>17</v>
      </c>
      <c r="R13" s="495">
        <v>15</v>
      </c>
      <c r="T13" s="495">
        <v>15</v>
      </c>
      <c r="U13" s="495">
        <v>14</v>
      </c>
      <c r="V13" s="495">
        <v>14</v>
      </c>
      <c r="W13" s="495">
        <v>13</v>
      </c>
      <c r="X13" s="495">
        <v>12</v>
      </c>
      <c r="Y13" s="495">
        <v>13</v>
      </c>
      <c r="Z13" s="468"/>
      <c r="AA13" s="444">
        <v>13</v>
      </c>
      <c r="AB13" s="378">
        <v>12</v>
      </c>
      <c r="AC13" s="369">
        <v>16000</v>
      </c>
      <c r="AD13" s="369">
        <v>16296.296296296297</v>
      </c>
      <c r="AE13" s="369">
        <v>16692</v>
      </c>
      <c r="AF13" s="369">
        <v>16846</v>
      </c>
      <c r="AG13" s="444">
        <v>16800</v>
      </c>
      <c r="AH13" s="444">
        <v>17091</v>
      </c>
      <c r="AI13" s="495">
        <v>17058.823529411766</v>
      </c>
      <c r="AJ13" s="495">
        <v>17000</v>
      </c>
      <c r="AK13" s="495">
        <v>16933.333333333332</v>
      </c>
      <c r="AL13" s="495">
        <v>17571.428571428572</v>
      </c>
      <c r="AM13" s="495">
        <v>17142.857142857141</v>
      </c>
      <c r="AN13" s="495">
        <v>16923.076923076922</v>
      </c>
      <c r="AO13" s="495">
        <v>18250</v>
      </c>
      <c r="AP13" s="495">
        <v>17692</v>
      </c>
      <c r="AQ13" s="496"/>
      <c r="AS13" s="378" t="s">
        <v>300</v>
      </c>
      <c r="AT13" s="444">
        <v>448</v>
      </c>
      <c r="AU13" s="477">
        <v>0.28848878242279063</v>
      </c>
      <c r="AV13" s="444">
        <v>440</v>
      </c>
      <c r="AW13" s="477">
        <v>0.28570315442255495</v>
      </c>
      <c r="AX13" s="479">
        <v>434</v>
      </c>
      <c r="AY13" s="477">
        <v>0.27804293649217443</v>
      </c>
      <c r="AZ13" s="368">
        <v>438</v>
      </c>
      <c r="BA13" s="363">
        <v>0.27851610687896633</v>
      </c>
      <c r="BB13" s="497">
        <v>420</v>
      </c>
      <c r="BC13" s="475">
        <v>0.25832005855254658</v>
      </c>
      <c r="BD13" s="497">
        <v>376</v>
      </c>
      <c r="BE13" s="498">
        <v>0.22462110124079263</v>
      </c>
      <c r="BF13" s="497">
        <v>290</v>
      </c>
      <c r="BG13" s="499">
        <f t="shared" si="4"/>
        <v>0.1639059812683723</v>
      </c>
      <c r="BH13" s="446">
        <v>254</v>
      </c>
      <c r="BI13" s="499">
        <f t="shared" si="0"/>
        <v>0.13369666542620023</v>
      </c>
      <c r="BJ13" s="444">
        <v>246</v>
      </c>
      <c r="BK13" s="499">
        <f t="shared" si="1"/>
        <v>0.12992939446564161</v>
      </c>
      <c r="BL13" s="495">
        <v>240</v>
      </c>
      <c r="BM13" s="499">
        <f t="shared" si="2"/>
        <v>0.12508932159370051</v>
      </c>
      <c r="BN13" s="444">
        <v>220</v>
      </c>
      <c r="BO13" s="499">
        <f t="shared" si="3"/>
        <v>0.11215071424711695</v>
      </c>
      <c r="BP13" s="446">
        <v>219</v>
      </c>
      <c r="BQ13" s="499">
        <f t="shared" si="5"/>
        <v>0.10920677979624707</v>
      </c>
      <c r="BR13" s="446">
        <v>230</v>
      </c>
      <c r="BS13" s="500">
        <v>1.1000000000000001E-3</v>
      </c>
      <c r="BT13" s="367"/>
      <c r="BU13" s="367"/>
      <c r="BV13" s="367"/>
      <c r="BW13" s="367"/>
      <c r="BX13" s="367"/>
      <c r="BY13" s="367"/>
      <c r="BZ13" s="367"/>
      <c r="CA13" s="446"/>
    </row>
    <row r="14" spans="1:131" ht="15.75" hidden="1">
      <c r="B14" s="378" t="s">
        <v>301</v>
      </c>
      <c r="C14" s="379"/>
      <c r="D14" s="371">
        <v>2.2000000000000002</v>
      </c>
      <c r="E14" s="371"/>
      <c r="F14" s="371">
        <v>2</v>
      </c>
      <c r="G14" s="371"/>
      <c r="H14" s="372">
        <v>2</v>
      </c>
      <c r="I14" s="372"/>
      <c r="J14" s="372">
        <v>2.1</v>
      </c>
      <c r="K14" s="372"/>
      <c r="L14" s="373">
        <v>2</v>
      </c>
      <c r="N14" s="374">
        <v>1.8</v>
      </c>
      <c r="O14" s="374"/>
      <c r="P14" s="495">
        <v>1.1000000000000001</v>
      </c>
      <c r="Q14" s="374"/>
      <c r="R14" s="495">
        <v>1.1000000000000001</v>
      </c>
      <c r="S14" s="368"/>
      <c r="T14" s="495">
        <v>1.1000000000000001</v>
      </c>
      <c r="U14" s="495">
        <v>1.1000000000000001</v>
      </c>
      <c r="V14" s="495">
        <v>1.1000000000000001</v>
      </c>
      <c r="W14" s="495">
        <v>1</v>
      </c>
      <c r="X14" s="495">
        <v>1.1000000000000001</v>
      </c>
      <c r="Y14" s="495">
        <v>1</v>
      </c>
      <c r="Z14" s="468"/>
      <c r="AA14" s="444">
        <v>1.1000000000000001</v>
      </c>
      <c r="AB14" s="378">
        <v>1</v>
      </c>
      <c r="AC14" s="369">
        <v>14773</v>
      </c>
      <c r="AD14" s="369">
        <v>15600</v>
      </c>
      <c r="AE14" s="369">
        <v>15950</v>
      </c>
      <c r="AF14" s="369">
        <v>15714</v>
      </c>
      <c r="AG14" s="444">
        <v>15500</v>
      </c>
      <c r="AH14" s="444">
        <v>15667</v>
      </c>
      <c r="AI14" s="495">
        <v>16999.999999999996</v>
      </c>
      <c r="AJ14" s="495">
        <v>16363.636363636364</v>
      </c>
      <c r="AK14" s="495">
        <v>18090.909090909085</v>
      </c>
      <c r="AL14" s="495">
        <v>17818.181818181816</v>
      </c>
      <c r="AM14" s="495">
        <v>17636.363636363632</v>
      </c>
      <c r="AN14" s="495">
        <v>17909.090909090908</v>
      </c>
      <c r="AO14" s="495">
        <v>18300</v>
      </c>
      <c r="AP14" s="495">
        <v>19000</v>
      </c>
      <c r="AQ14" s="496"/>
      <c r="AS14" s="378" t="s">
        <v>301</v>
      </c>
      <c r="AT14" s="444">
        <v>33</v>
      </c>
      <c r="AU14" s="477">
        <v>2.1250289776678772E-2</v>
      </c>
      <c r="AV14" s="444">
        <v>31.2</v>
      </c>
      <c r="AW14" s="477">
        <v>2.0258950949962988E-2</v>
      </c>
      <c r="AX14" s="479">
        <v>32</v>
      </c>
      <c r="AY14" s="477">
        <v>2.0500861676842355E-2</v>
      </c>
      <c r="AZ14" s="368">
        <v>33</v>
      </c>
      <c r="BA14" s="363">
        <v>2.098409024430568E-2</v>
      </c>
      <c r="BB14" s="497">
        <v>31</v>
      </c>
      <c r="BC14" s="475">
        <v>1.9066480512211773E-2</v>
      </c>
      <c r="BD14" s="497">
        <v>28</v>
      </c>
      <c r="BE14" s="498">
        <v>1.6727103283888812E-2</v>
      </c>
      <c r="BF14" s="497">
        <v>18.7</v>
      </c>
      <c r="BG14" s="499">
        <f t="shared" si="4"/>
        <v>1.0569109826615729E-2</v>
      </c>
      <c r="BH14" s="446">
        <v>19.899999999999999</v>
      </c>
      <c r="BI14" s="499">
        <f t="shared" si="0"/>
        <v>1.0474660007800727E-2</v>
      </c>
      <c r="BJ14" s="444">
        <v>19.600000000000001</v>
      </c>
      <c r="BK14" s="499">
        <f t="shared" si="1"/>
        <v>1.0352098095636485E-2</v>
      </c>
      <c r="BL14" s="495">
        <v>19.399999999999999</v>
      </c>
      <c r="BM14" s="499">
        <f t="shared" si="2"/>
        <v>1.0111386828824124E-2</v>
      </c>
      <c r="BN14" s="444">
        <v>19.7</v>
      </c>
      <c r="BO14" s="499">
        <f t="shared" si="3"/>
        <v>1.0042586684855474E-2</v>
      </c>
      <c r="BP14" s="446">
        <v>18</v>
      </c>
      <c r="BQ14" s="499">
        <f t="shared" si="5"/>
        <v>8.9758997092805812E-3</v>
      </c>
      <c r="BR14" s="446">
        <v>17</v>
      </c>
      <c r="BS14" s="500">
        <v>1E-4</v>
      </c>
      <c r="BT14" s="367"/>
      <c r="BU14" s="367"/>
      <c r="BV14" s="367"/>
      <c r="BW14" s="367"/>
      <c r="BX14" s="367"/>
      <c r="BY14" s="367"/>
      <c r="BZ14" s="367"/>
      <c r="CA14" s="446"/>
    </row>
    <row r="15" spans="1:131" ht="15.75" hidden="1">
      <c r="B15" s="378" t="s">
        <v>302</v>
      </c>
      <c r="C15" s="379"/>
      <c r="D15" s="370">
        <v>32</v>
      </c>
      <c r="E15" s="370"/>
      <c r="F15" s="370">
        <v>30</v>
      </c>
      <c r="G15" s="370"/>
      <c r="H15" s="368">
        <v>30</v>
      </c>
      <c r="I15" s="368"/>
      <c r="J15" s="368">
        <v>30</v>
      </c>
      <c r="L15" s="494">
        <v>29</v>
      </c>
      <c r="N15" s="444">
        <v>27</v>
      </c>
      <c r="P15" s="495">
        <v>20</v>
      </c>
      <c r="R15" s="495">
        <v>19</v>
      </c>
      <c r="T15" s="495">
        <v>19</v>
      </c>
      <c r="U15" s="495">
        <v>19</v>
      </c>
      <c r="V15" s="495">
        <v>19</v>
      </c>
      <c r="W15" s="495">
        <v>19</v>
      </c>
      <c r="X15" s="495">
        <v>18</v>
      </c>
      <c r="Y15" s="495">
        <v>18</v>
      </c>
      <c r="Z15" s="468"/>
      <c r="AA15" s="444">
        <v>19</v>
      </c>
      <c r="AB15" s="378">
        <v>18</v>
      </c>
      <c r="AC15" s="369">
        <v>16438</v>
      </c>
      <c r="AD15" s="369">
        <v>16633.333333333332</v>
      </c>
      <c r="AE15" s="369">
        <v>16966.666666666664</v>
      </c>
      <c r="AF15" s="369">
        <v>17633</v>
      </c>
      <c r="AG15" s="444">
        <v>17931</v>
      </c>
      <c r="AH15" s="444">
        <v>17778</v>
      </c>
      <c r="AI15" s="495">
        <v>19200</v>
      </c>
      <c r="AJ15" s="495">
        <v>19210.526315789473</v>
      </c>
      <c r="AK15" s="495">
        <v>19157.894736842107</v>
      </c>
      <c r="AL15" s="495">
        <v>18578.94736842105</v>
      </c>
      <c r="AM15" s="495">
        <v>19000</v>
      </c>
      <c r="AN15" s="495">
        <v>19000</v>
      </c>
      <c r="AO15" s="495">
        <v>19889</v>
      </c>
      <c r="AP15" s="495">
        <v>20611</v>
      </c>
      <c r="AQ15" s="496"/>
      <c r="AS15" s="378" t="s">
        <v>302</v>
      </c>
      <c r="AT15" s="444">
        <v>526</v>
      </c>
      <c r="AU15" s="477">
        <v>0.33871674007675862</v>
      </c>
      <c r="AV15" s="444">
        <v>499</v>
      </c>
      <c r="AW15" s="477">
        <v>0.32401335012921573</v>
      </c>
      <c r="AX15" s="479">
        <v>509</v>
      </c>
      <c r="AY15" s="477">
        <v>0.32609183104727368</v>
      </c>
      <c r="AZ15" s="368">
        <v>529</v>
      </c>
      <c r="BA15" s="363">
        <v>0.33638132543144561</v>
      </c>
      <c r="BB15" s="497">
        <v>520</v>
      </c>
      <c r="BC15" s="475">
        <v>0.31982483439839104</v>
      </c>
      <c r="BD15" s="497">
        <v>480</v>
      </c>
      <c r="BE15" s="498">
        <v>0.28675034200952249</v>
      </c>
      <c r="BF15" s="497">
        <v>384</v>
      </c>
      <c r="BG15" s="499">
        <f t="shared" si="4"/>
        <v>0.21703412692087917</v>
      </c>
      <c r="BH15" s="446">
        <v>364</v>
      </c>
      <c r="BI15" s="499">
        <f t="shared" si="0"/>
        <v>0.19159679612258618</v>
      </c>
      <c r="BJ15" s="444">
        <v>353</v>
      </c>
      <c r="BK15" s="499">
        <f t="shared" si="1"/>
        <v>0.18644339937549384</v>
      </c>
      <c r="BL15" s="495">
        <v>361</v>
      </c>
      <c r="BM15" s="499">
        <f t="shared" si="2"/>
        <v>0.18815518789719118</v>
      </c>
      <c r="BN15" s="444">
        <v>361</v>
      </c>
      <c r="BO15" s="499">
        <f t="shared" si="3"/>
        <v>0.18402912656004192</v>
      </c>
      <c r="BP15" s="446">
        <v>358</v>
      </c>
      <c r="BQ15" s="499">
        <f t="shared" si="5"/>
        <v>0.17852067199569155</v>
      </c>
      <c r="BR15" s="446">
        <v>371</v>
      </c>
      <c r="BS15" s="500">
        <v>1.8E-3</v>
      </c>
      <c r="BT15" s="367"/>
      <c r="BU15" s="367"/>
      <c r="BV15" s="367"/>
      <c r="BW15" s="367"/>
      <c r="BX15" s="367"/>
      <c r="BY15" s="367"/>
      <c r="BZ15" s="367"/>
      <c r="CA15" s="446"/>
    </row>
    <row r="16" spans="1:131" ht="15.75" hidden="1">
      <c r="B16" s="378" t="s">
        <v>170</v>
      </c>
      <c r="C16" s="379"/>
      <c r="D16" s="370">
        <v>703</v>
      </c>
      <c r="E16" s="370"/>
      <c r="F16" s="370">
        <v>702</v>
      </c>
      <c r="G16" s="370"/>
      <c r="H16" s="368">
        <v>699</v>
      </c>
      <c r="I16" s="368"/>
      <c r="J16" s="368">
        <v>701</v>
      </c>
      <c r="L16" s="494">
        <v>701</v>
      </c>
      <c r="N16" s="444">
        <v>686</v>
      </c>
      <c r="P16" s="495">
        <v>648</v>
      </c>
      <c r="R16" s="495">
        <v>627</v>
      </c>
      <c r="T16" s="495">
        <v>626</v>
      </c>
      <c r="U16" s="495">
        <v>619</v>
      </c>
      <c r="V16" s="495">
        <v>611</v>
      </c>
      <c r="W16" s="495">
        <v>610</v>
      </c>
      <c r="X16" s="495">
        <v>619</v>
      </c>
      <c r="Y16" s="495">
        <v>610</v>
      </c>
      <c r="Z16" s="468"/>
      <c r="AA16" s="444">
        <v>610</v>
      </c>
      <c r="AB16" s="378">
        <v>610</v>
      </c>
      <c r="AC16" s="369">
        <v>16501</v>
      </c>
      <c r="AD16" s="369">
        <v>16396.011396011396</v>
      </c>
      <c r="AE16" s="369">
        <v>16495</v>
      </c>
      <c r="AF16" s="369">
        <v>16762</v>
      </c>
      <c r="AG16" s="444">
        <v>17235</v>
      </c>
      <c r="AH16" s="444">
        <v>17378</v>
      </c>
      <c r="AI16" s="495">
        <v>18638.888888888891</v>
      </c>
      <c r="AJ16" s="495">
        <v>19303.030303030304</v>
      </c>
      <c r="AK16" s="495">
        <v>19859.424920127796</v>
      </c>
      <c r="AL16" s="495">
        <v>20071.08239095315</v>
      </c>
      <c r="AM16" s="495">
        <v>20754.500818330605</v>
      </c>
      <c r="AN16" s="495">
        <v>21045.901639344262</v>
      </c>
      <c r="AO16" s="495">
        <v>21623</v>
      </c>
      <c r="AP16" s="495">
        <v>22080</v>
      </c>
      <c r="AQ16" s="496"/>
      <c r="AS16" s="378" t="s">
        <v>170</v>
      </c>
      <c r="AT16" s="444">
        <v>11600</v>
      </c>
      <c r="AU16" s="477">
        <v>7.469798830590114</v>
      </c>
      <c r="AV16" s="444">
        <v>11510</v>
      </c>
      <c r="AW16" s="477">
        <v>7.4737347895536539</v>
      </c>
      <c r="AX16" s="479">
        <v>11530</v>
      </c>
      <c r="AY16" s="477">
        <v>7.386716722937261</v>
      </c>
      <c r="AZ16" s="368">
        <v>11750</v>
      </c>
      <c r="BA16" s="363">
        <v>7.4716078900179319</v>
      </c>
      <c r="BB16" s="497">
        <v>12082</v>
      </c>
      <c r="BC16" s="475">
        <v>7.4310070176949239</v>
      </c>
      <c r="BD16" s="497">
        <v>11921</v>
      </c>
      <c r="BE16" s="498">
        <v>7.1215642231156622</v>
      </c>
      <c r="BF16" s="497">
        <v>12078</v>
      </c>
      <c r="BG16" s="499">
        <f t="shared" si="4"/>
        <v>6.8264015233082773</v>
      </c>
      <c r="BH16" s="446">
        <v>12432</v>
      </c>
      <c r="BI16" s="499">
        <f t="shared" si="0"/>
        <v>6.5437674983406353</v>
      </c>
      <c r="BJ16" s="444">
        <v>12424</v>
      </c>
      <c r="BK16" s="499">
        <f t="shared" si="1"/>
        <v>6.5619625887850859</v>
      </c>
      <c r="BL16" s="495">
        <v>12681</v>
      </c>
      <c r="BM16" s="499">
        <f t="shared" si="2"/>
        <v>6.6094070297071514</v>
      </c>
      <c r="BN16" s="444">
        <v>12838</v>
      </c>
      <c r="BO16" s="499">
        <f t="shared" si="3"/>
        <v>6.544503952293125</v>
      </c>
      <c r="BP16" s="446">
        <v>13190</v>
      </c>
      <c r="BQ16" s="499">
        <f t="shared" si="5"/>
        <v>6.5773398425228269</v>
      </c>
      <c r="BR16" s="446">
        <v>13469</v>
      </c>
      <c r="BS16" s="500">
        <v>6.6900000000000001E-2</v>
      </c>
      <c r="BT16" s="367"/>
      <c r="BU16" s="367"/>
      <c r="BV16" s="367"/>
      <c r="BW16" s="367"/>
      <c r="BX16" s="367"/>
      <c r="BY16" s="367"/>
      <c r="BZ16" s="367"/>
      <c r="CA16" s="446"/>
    </row>
    <row r="17" spans="1:91" ht="15.75" hidden="1">
      <c r="B17" s="378" t="s">
        <v>303</v>
      </c>
      <c r="C17" s="379"/>
      <c r="D17" s="370">
        <v>23</v>
      </c>
      <c r="E17" s="370"/>
      <c r="F17" s="370">
        <v>22</v>
      </c>
      <c r="G17" s="370"/>
      <c r="H17" s="368">
        <v>21</v>
      </c>
      <c r="I17" s="368"/>
      <c r="J17" s="368">
        <v>19</v>
      </c>
      <c r="L17" s="494">
        <v>17</v>
      </c>
      <c r="N17" s="444">
        <v>16</v>
      </c>
      <c r="P17" s="495">
        <v>12</v>
      </c>
      <c r="R17" s="495">
        <v>10</v>
      </c>
      <c r="T17" s="495">
        <v>10</v>
      </c>
      <c r="U17" s="495">
        <v>9</v>
      </c>
      <c r="V17" s="495">
        <v>8</v>
      </c>
      <c r="W17" s="495">
        <v>8</v>
      </c>
      <c r="X17" s="495">
        <v>7</v>
      </c>
      <c r="Y17" s="495">
        <v>7</v>
      </c>
      <c r="Z17" s="468"/>
      <c r="AA17" s="444">
        <v>8</v>
      </c>
      <c r="AB17" s="378">
        <v>7</v>
      </c>
      <c r="AC17" s="369">
        <v>13913</v>
      </c>
      <c r="AD17" s="369">
        <v>13500</v>
      </c>
      <c r="AE17" s="369">
        <v>14238</v>
      </c>
      <c r="AF17" s="369">
        <v>15368</v>
      </c>
      <c r="AG17" s="444">
        <v>16471</v>
      </c>
      <c r="AH17" s="444">
        <v>15250</v>
      </c>
      <c r="AI17" s="495">
        <v>16000</v>
      </c>
      <c r="AJ17" s="495">
        <v>16800</v>
      </c>
      <c r="AK17" s="495">
        <v>16900</v>
      </c>
      <c r="AL17" s="495">
        <v>17888.888888888891</v>
      </c>
      <c r="AM17" s="495">
        <v>17250</v>
      </c>
      <c r="AN17" s="495">
        <v>16875</v>
      </c>
      <c r="AO17" s="495">
        <v>18571</v>
      </c>
      <c r="AP17" s="495">
        <v>18143</v>
      </c>
      <c r="AQ17" s="496"/>
      <c r="AS17" s="378" t="s">
        <v>303</v>
      </c>
      <c r="AT17" s="444">
        <v>320</v>
      </c>
      <c r="AU17" s="477">
        <v>0.20606341601627901</v>
      </c>
      <c r="AV17" s="444">
        <v>297</v>
      </c>
      <c r="AW17" s="477">
        <v>0.19284962923522461</v>
      </c>
      <c r="AX17" s="479">
        <v>299</v>
      </c>
      <c r="AY17" s="477">
        <v>0.19155492629299575</v>
      </c>
      <c r="AZ17" s="368">
        <v>292</v>
      </c>
      <c r="BA17" s="363">
        <v>0.18567740458597753</v>
      </c>
      <c r="BB17" s="497">
        <v>280</v>
      </c>
      <c r="BC17" s="475">
        <v>0.1722133723683644</v>
      </c>
      <c r="BD17" s="497">
        <v>244</v>
      </c>
      <c r="BE17" s="498">
        <v>0.14576475718817394</v>
      </c>
      <c r="BF17" s="497">
        <v>192</v>
      </c>
      <c r="BG17" s="499">
        <f t="shared" si="4"/>
        <v>0.10851706346043959</v>
      </c>
      <c r="BH17" s="446">
        <v>169</v>
      </c>
      <c r="BI17" s="499">
        <f t="shared" si="0"/>
        <v>8.8955655342629295E-2</v>
      </c>
      <c r="BJ17" s="444">
        <v>161</v>
      </c>
      <c r="BK17" s="499">
        <f t="shared" si="1"/>
        <v>8.5035091499871124E-2</v>
      </c>
      <c r="BL17" s="495">
        <v>138</v>
      </c>
      <c r="BM17" s="499">
        <f t="shared" si="2"/>
        <v>7.1926359916377788E-2</v>
      </c>
      <c r="BN17" s="444">
        <v>135</v>
      </c>
      <c r="BO17" s="499">
        <f t="shared" si="3"/>
        <v>6.8819756469821775E-2</v>
      </c>
      <c r="BP17" s="446">
        <v>130</v>
      </c>
      <c r="BQ17" s="499">
        <f t="shared" si="5"/>
        <v>6.4825942344804197E-2</v>
      </c>
      <c r="BR17" s="446">
        <v>127</v>
      </c>
      <c r="BS17" s="500">
        <v>5.9999999999999995E-4</v>
      </c>
      <c r="BT17" s="367"/>
      <c r="BU17" s="367"/>
      <c r="BV17" s="367"/>
      <c r="BW17" s="367"/>
      <c r="BX17" s="367"/>
      <c r="BY17" s="367"/>
      <c r="BZ17" s="367"/>
      <c r="CA17" s="446"/>
    </row>
    <row r="18" spans="1:91" ht="15.75" hidden="1">
      <c r="B18" s="378" t="s">
        <v>304</v>
      </c>
      <c r="C18" s="379"/>
      <c r="D18" s="370">
        <v>636</v>
      </c>
      <c r="E18" s="370"/>
      <c r="F18" s="370">
        <v>634</v>
      </c>
      <c r="G18" s="370"/>
      <c r="H18" s="368">
        <v>629</v>
      </c>
      <c r="I18" s="368"/>
      <c r="J18" s="368">
        <v>623</v>
      </c>
      <c r="L18" s="494">
        <v>616</v>
      </c>
      <c r="N18" s="444">
        <v>617</v>
      </c>
      <c r="P18" s="495">
        <v>561</v>
      </c>
      <c r="R18" s="495">
        <v>550</v>
      </c>
      <c r="T18" s="495">
        <v>549</v>
      </c>
      <c r="U18" s="495">
        <v>545</v>
      </c>
      <c r="V18" s="495">
        <v>541</v>
      </c>
      <c r="W18" s="495">
        <v>541</v>
      </c>
      <c r="X18" s="495">
        <v>536</v>
      </c>
      <c r="Y18" s="495">
        <v>533</v>
      </c>
      <c r="Z18" s="468"/>
      <c r="AA18" s="444">
        <v>541</v>
      </c>
      <c r="AB18" s="378">
        <v>536</v>
      </c>
      <c r="AC18" s="369">
        <v>16492</v>
      </c>
      <c r="AD18" s="369">
        <v>16536</v>
      </c>
      <c r="AE18" s="369">
        <v>16951</v>
      </c>
      <c r="AF18" s="369">
        <v>17411</v>
      </c>
      <c r="AG18" s="444">
        <v>17745</v>
      </c>
      <c r="AH18" s="444">
        <v>18081</v>
      </c>
      <c r="AI18" s="495">
        <v>18721.925133689841</v>
      </c>
      <c r="AJ18" s="495">
        <v>19421.81818181818</v>
      </c>
      <c r="AK18" s="495">
        <v>19262.295081967215</v>
      </c>
      <c r="AL18" s="495">
        <v>19359.633027522934</v>
      </c>
      <c r="AM18" s="495">
        <v>19746.765249537893</v>
      </c>
      <c r="AN18" s="495">
        <v>19495.378927911275</v>
      </c>
      <c r="AO18" s="495">
        <v>19549</v>
      </c>
      <c r="AP18" s="495">
        <v>19822</v>
      </c>
      <c r="AQ18" s="496"/>
      <c r="AS18" s="378" t="s">
        <v>304</v>
      </c>
      <c r="AT18" s="444">
        <v>10489</v>
      </c>
      <c r="AU18" s="477">
        <v>6.7543724081085958</v>
      </c>
      <c r="AV18" s="444">
        <v>10484</v>
      </c>
      <c r="AW18" s="477">
        <v>6.8075269794683324</v>
      </c>
      <c r="AX18" s="479">
        <v>10662</v>
      </c>
      <c r="AY18" s="477">
        <v>6.8306308499529118</v>
      </c>
      <c r="AZ18" s="368">
        <v>10847</v>
      </c>
      <c r="BA18" s="363">
        <v>6.897406875151022</v>
      </c>
      <c r="BB18" s="497">
        <v>10931</v>
      </c>
      <c r="BC18" s="475">
        <v>6.7230870477092548</v>
      </c>
      <c r="BD18" s="497">
        <v>11156</v>
      </c>
      <c r="BE18" s="498">
        <v>6.6645558655379853</v>
      </c>
      <c r="BF18" s="497">
        <v>10503</v>
      </c>
      <c r="BG18" s="499">
        <f t="shared" si="4"/>
        <v>5.936222487109359</v>
      </c>
      <c r="BH18" s="446">
        <v>10575</v>
      </c>
      <c r="BI18" s="499">
        <f t="shared" si="0"/>
        <v>5.5663080192207381</v>
      </c>
      <c r="BJ18" s="444">
        <v>10551</v>
      </c>
      <c r="BK18" s="499">
        <f t="shared" si="1"/>
        <v>5.5727034187275795</v>
      </c>
      <c r="BL18" s="495">
        <v>10683</v>
      </c>
      <c r="BM18" s="499">
        <f t="shared" si="2"/>
        <v>5.5680384274395935</v>
      </c>
      <c r="BN18" s="444">
        <v>10547</v>
      </c>
      <c r="BO18" s="499">
        <f t="shared" si="3"/>
        <v>5.3766071962015571</v>
      </c>
      <c r="BP18" s="446">
        <v>10478</v>
      </c>
      <c r="BQ18" s="499">
        <f t="shared" si="5"/>
        <v>5.2249709529912192</v>
      </c>
      <c r="BR18" s="446">
        <v>10565</v>
      </c>
      <c r="BS18" s="500">
        <v>5.2499999999999998E-2</v>
      </c>
      <c r="BT18" s="367"/>
      <c r="BU18" s="367"/>
      <c r="BV18" s="367"/>
      <c r="BW18" s="367"/>
      <c r="BX18" s="367"/>
      <c r="BY18" s="367"/>
      <c r="BZ18" s="367"/>
      <c r="CA18" s="446"/>
    </row>
    <row r="19" spans="1:91" ht="15.75" hidden="1">
      <c r="B19" s="378" t="s">
        <v>305</v>
      </c>
      <c r="C19" s="379"/>
      <c r="D19" s="375">
        <v>10</v>
      </c>
      <c r="E19" s="375"/>
      <c r="F19" s="375">
        <v>9.6999999999999993</v>
      </c>
      <c r="G19" s="375"/>
      <c r="H19" s="376">
        <v>10</v>
      </c>
      <c r="I19" s="376"/>
      <c r="J19" s="376">
        <v>10.9</v>
      </c>
      <c r="L19" s="377">
        <v>10</v>
      </c>
      <c r="N19" s="374">
        <v>9.9</v>
      </c>
      <c r="O19" s="374"/>
      <c r="P19" s="495">
        <v>7.4</v>
      </c>
      <c r="Q19" s="374"/>
      <c r="R19" s="495">
        <v>6.8</v>
      </c>
      <c r="S19" s="368"/>
      <c r="T19" s="495">
        <v>6.5</v>
      </c>
      <c r="U19" s="495">
        <v>6</v>
      </c>
      <c r="V19" s="495">
        <v>5</v>
      </c>
      <c r="W19" s="495">
        <v>4.9000000000000004</v>
      </c>
      <c r="X19" s="495">
        <v>5</v>
      </c>
      <c r="Y19" s="495">
        <v>5</v>
      </c>
      <c r="Z19" s="468"/>
      <c r="AA19" s="444">
        <v>5</v>
      </c>
      <c r="AB19" s="378">
        <v>4.9000000000000004</v>
      </c>
      <c r="AC19" s="369">
        <v>14500</v>
      </c>
      <c r="AD19" s="369">
        <v>14433</v>
      </c>
      <c r="AE19" s="369">
        <v>14800</v>
      </c>
      <c r="AF19" s="369">
        <v>14624</v>
      </c>
      <c r="AG19" s="444">
        <v>14500</v>
      </c>
      <c r="AH19" s="444">
        <v>14747</v>
      </c>
      <c r="AI19" s="495">
        <v>16621.62162162162</v>
      </c>
      <c r="AJ19" s="495">
        <v>16617.647058823528</v>
      </c>
      <c r="AK19" s="495">
        <v>16923.076923076922</v>
      </c>
      <c r="AL19" s="495">
        <v>17000</v>
      </c>
      <c r="AM19" s="495">
        <v>16792.452830188678</v>
      </c>
      <c r="AN19" s="495">
        <v>18300</v>
      </c>
      <c r="AO19" s="495">
        <v>19143</v>
      </c>
      <c r="AP19" s="495">
        <v>19521</v>
      </c>
      <c r="AQ19" s="496"/>
      <c r="AS19" s="378" t="s">
        <v>305</v>
      </c>
      <c r="AT19" s="444">
        <v>145</v>
      </c>
      <c r="AU19" s="477">
        <v>9.3372485382376427E-2</v>
      </c>
      <c r="AV19" s="444">
        <v>140</v>
      </c>
      <c r="AW19" s="477">
        <v>9.0905549134449301E-2</v>
      </c>
      <c r="AX19" s="479">
        <v>148</v>
      </c>
      <c r="AY19" s="477">
        <v>9.4816485255395891E-2</v>
      </c>
      <c r="AZ19" s="368">
        <v>159</v>
      </c>
      <c r="BA19" s="363">
        <v>0.1011051620862001</v>
      </c>
      <c r="BB19" s="497">
        <v>145</v>
      </c>
      <c r="BC19" s="475">
        <v>8.9181924976474425E-2</v>
      </c>
      <c r="BD19" s="497">
        <v>146</v>
      </c>
      <c r="BE19" s="498">
        <v>8.7219895694563093E-2</v>
      </c>
      <c r="BF19" s="497">
        <v>123</v>
      </c>
      <c r="BG19" s="499">
        <f t="shared" si="4"/>
        <v>6.9518743779344111E-2</v>
      </c>
      <c r="BH19" s="446">
        <v>110</v>
      </c>
      <c r="BI19" s="499">
        <f t="shared" si="0"/>
        <v>5.7900130696385929E-2</v>
      </c>
      <c r="BJ19" s="444">
        <v>102</v>
      </c>
      <c r="BK19" s="499">
        <f t="shared" si="1"/>
        <v>5.3873163558924561E-2</v>
      </c>
      <c r="BL19" s="495">
        <v>89</v>
      </c>
      <c r="BM19" s="499">
        <f t="shared" si="2"/>
        <v>4.638729009099727E-2</v>
      </c>
      <c r="BN19" s="444">
        <v>91.5</v>
      </c>
      <c r="BO19" s="499">
        <f t="shared" si="3"/>
        <v>4.6644501607323648E-2</v>
      </c>
      <c r="BP19" s="446">
        <v>94</v>
      </c>
      <c r="BQ19" s="499">
        <f t="shared" si="5"/>
        <v>4.6874142926243041E-2</v>
      </c>
      <c r="BR19" s="446">
        <v>94</v>
      </c>
      <c r="BS19" s="500">
        <v>5.0000000000000001E-4</v>
      </c>
      <c r="BT19" s="367"/>
      <c r="BU19" s="367"/>
      <c r="BV19" s="367"/>
      <c r="BW19" s="367"/>
      <c r="BX19" s="367"/>
      <c r="BY19" s="367"/>
      <c r="BZ19" s="367"/>
      <c r="CA19" s="446"/>
    </row>
    <row r="20" spans="1:91" ht="15.75" hidden="1">
      <c r="B20" s="378" t="s">
        <v>306</v>
      </c>
      <c r="C20" s="379"/>
      <c r="D20" s="370">
        <v>91</v>
      </c>
      <c r="E20" s="370"/>
      <c r="F20" s="370">
        <v>87</v>
      </c>
      <c r="G20" s="370"/>
      <c r="H20" s="368">
        <v>86</v>
      </c>
      <c r="I20" s="368"/>
      <c r="J20" s="368">
        <v>86</v>
      </c>
      <c r="L20" s="494">
        <v>86</v>
      </c>
      <c r="N20" s="444">
        <v>84</v>
      </c>
      <c r="P20" s="495">
        <v>71</v>
      </c>
      <c r="R20" s="495">
        <v>58</v>
      </c>
      <c r="T20" s="495">
        <v>56</v>
      </c>
      <c r="U20" s="495">
        <v>55</v>
      </c>
      <c r="V20" s="495">
        <v>54</v>
      </c>
      <c r="W20" s="495">
        <v>52</v>
      </c>
      <c r="X20" s="495">
        <v>51</v>
      </c>
      <c r="Y20" s="495">
        <v>50</v>
      </c>
      <c r="Z20" s="468"/>
      <c r="AA20" s="444">
        <v>52</v>
      </c>
      <c r="AB20" s="378">
        <v>51</v>
      </c>
      <c r="AC20" s="369">
        <v>14725</v>
      </c>
      <c r="AD20" s="369">
        <v>15080</v>
      </c>
      <c r="AE20" s="369">
        <v>15419</v>
      </c>
      <c r="AF20" s="369">
        <v>15581</v>
      </c>
      <c r="AG20" s="444">
        <v>15872</v>
      </c>
      <c r="AH20" s="444">
        <v>16083</v>
      </c>
      <c r="AI20" s="495">
        <v>16098.591549295776</v>
      </c>
      <c r="AJ20" s="495">
        <v>18120.689655172413</v>
      </c>
      <c r="AK20" s="495">
        <v>18375</v>
      </c>
      <c r="AL20" s="495">
        <v>18254.545454545452</v>
      </c>
      <c r="AM20" s="495">
        <v>18388.888888888891</v>
      </c>
      <c r="AN20" s="495">
        <v>18653.846153846152</v>
      </c>
      <c r="AO20" s="495">
        <v>19196</v>
      </c>
      <c r="AP20" s="495">
        <v>19440</v>
      </c>
      <c r="AQ20" s="496"/>
      <c r="AS20" s="378" t="s">
        <v>306</v>
      </c>
      <c r="AT20" s="444">
        <v>1340</v>
      </c>
      <c r="AU20" s="477">
        <v>0.86289055456816832</v>
      </c>
      <c r="AV20" s="444">
        <v>1312</v>
      </c>
      <c r="AW20" s="477">
        <v>0.8519148604599821</v>
      </c>
      <c r="AX20" s="479">
        <v>1326</v>
      </c>
      <c r="AY20" s="477">
        <v>0.84950445573415512</v>
      </c>
      <c r="AZ20" s="368">
        <v>1340</v>
      </c>
      <c r="BA20" s="363">
        <v>0.85208124022332155</v>
      </c>
      <c r="BB20" s="497">
        <v>1365</v>
      </c>
      <c r="BC20" s="475">
        <v>0.83954019029577642</v>
      </c>
      <c r="BD20" s="497">
        <v>1351</v>
      </c>
      <c r="BE20" s="498">
        <v>0.80708273344763526</v>
      </c>
      <c r="BF20" s="497">
        <v>1143</v>
      </c>
      <c r="BG20" s="499">
        <f t="shared" si="4"/>
        <v>0.64601564341292939</v>
      </c>
      <c r="BH20" s="446">
        <v>1029</v>
      </c>
      <c r="BI20" s="499">
        <f t="shared" si="0"/>
        <v>0.54162940442346474</v>
      </c>
      <c r="BJ20" s="444">
        <v>1004</v>
      </c>
      <c r="BK20" s="499">
        <f t="shared" si="1"/>
        <v>0.53028094326627706</v>
      </c>
      <c r="BL20" s="495">
        <v>993</v>
      </c>
      <c r="BM20" s="499">
        <f t="shared" si="2"/>
        <v>0.51755706809393587</v>
      </c>
      <c r="BN20" s="444">
        <v>970</v>
      </c>
      <c r="BO20" s="499">
        <f t="shared" si="3"/>
        <v>0.49448269463501565</v>
      </c>
      <c r="BP20" s="446">
        <v>979</v>
      </c>
      <c r="BQ20" s="499">
        <f t="shared" si="5"/>
        <v>0.48818921196587167</v>
      </c>
      <c r="BR20" s="446">
        <v>972</v>
      </c>
      <c r="BS20" s="500">
        <v>4.7999999999999996E-3</v>
      </c>
      <c r="BT20" s="367"/>
      <c r="BU20" s="367"/>
      <c r="BV20" s="367"/>
      <c r="BW20" s="367"/>
      <c r="BX20" s="367"/>
      <c r="BY20" s="367"/>
      <c r="BZ20" s="367"/>
      <c r="CA20" s="446"/>
    </row>
    <row r="21" spans="1:91" ht="15.75" hidden="1">
      <c r="B21" s="468"/>
      <c r="C21" s="446"/>
      <c r="D21" s="502"/>
      <c r="E21" s="502"/>
      <c r="F21" s="370"/>
      <c r="G21" s="502"/>
      <c r="H21" s="368"/>
      <c r="I21" s="368"/>
      <c r="J21" s="368"/>
      <c r="L21" s="494"/>
      <c r="P21" s="495"/>
      <c r="R21" s="495"/>
      <c r="T21" s="495"/>
      <c r="U21" s="495"/>
      <c r="V21" s="495"/>
      <c r="W21" s="495"/>
      <c r="X21" s="495"/>
      <c r="Y21" s="495"/>
      <c r="Z21" s="468"/>
      <c r="AB21" s="468"/>
      <c r="AC21" s="369"/>
      <c r="AD21" s="369"/>
      <c r="AE21" s="369"/>
      <c r="AF21" s="369"/>
      <c r="AI21" s="495"/>
      <c r="AJ21" s="495"/>
      <c r="AK21" s="495"/>
      <c r="AL21" s="495"/>
      <c r="AM21" s="495"/>
      <c r="AN21" s="495"/>
      <c r="AO21" s="495"/>
      <c r="AP21" s="495"/>
      <c r="AQ21" s="496"/>
      <c r="AS21" s="468"/>
      <c r="AU21" s="477"/>
      <c r="AV21" s="444"/>
      <c r="AW21" s="477"/>
      <c r="AX21" s="479"/>
      <c r="AY21" s="477"/>
      <c r="AZ21" s="446"/>
      <c r="BA21" s="363"/>
      <c r="BB21" s="489"/>
      <c r="BC21" s="475"/>
      <c r="BD21" s="489"/>
      <c r="BE21" s="490"/>
      <c r="BF21" s="489"/>
      <c r="BG21" s="477"/>
      <c r="BH21" s="454"/>
      <c r="BI21" s="477"/>
      <c r="BJ21" s="446"/>
      <c r="BK21" s="477"/>
      <c r="BL21" s="495"/>
      <c r="BM21" s="468"/>
      <c r="BN21" s="446"/>
      <c r="BO21" s="468"/>
      <c r="BP21" s="446"/>
      <c r="BQ21" s="468"/>
      <c r="BR21" s="446"/>
      <c r="BS21" s="503"/>
      <c r="BT21" s="367"/>
      <c r="BU21" s="367"/>
      <c r="BV21" s="367"/>
      <c r="BW21" s="446"/>
      <c r="BX21" s="446"/>
      <c r="BY21" s="446"/>
      <c r="BZ21" s="446"/>
      <c r="CA21" s="446"/>
    </row>
    <row r="22" spans="1:91" ht="16.899999999999999" hidden="1" customHeight="1">
      <c r="A22" s="480" t="s">
        <v>307</v>
      </c>
      <c r="B22" s="468"/>
      <c r="C22" s="446"/>
      <c r="D22" s="365">
        <v>2408</v>
      </c>
      <c r="E22" s="365"/>
      <c r="F22" s="365">
        <v>2352</v>
      </c>
      <c r="G22" s="365"/>
      <c r="H22" s="482">
        <v>2268</v>
      </c>
      <c r="I22" s="482"/>
      <c r="J22" s="365">
        <v>2219</v>
      </c>
      <c r="L22" s="483">
        <v>2209</v>
      </c>
      <c r="N22" s="483">
        <v>2178</v>
      </c>
      <c r="P22" s="484">
        <v>2001</v>
      </c>
      <c r="Q22" s="483"/>
      <c r="R22" s="484">
        <v>2042</v>
      </c>
      <c r="S22" s="483"/>
      <c r="T22" s="484">
        <v>2066</v>
      </c>
      <c r="U22" s="484">
        <v>2081</v>
      </c>
      <c r="V22" s="484">
        <v>2090</v>
      </c>
      <c r="W22" s="484">
        <v>2099</v>
      </c>
      <c r="X22" s="484">
        <v>2110</v>
      </c>
      <c r="Y22" s="484">
        <v>2115</v>
      </c>
      <c r="Z22" s="468"/>
      <c r="AA22" s="480">
        <v>2099</v>
      </c>
      <c r="AB22" s="468">
        <v>2110</v>
      </c>
      <c r="AC22" s="364">
        <v>15745.847176079733</v>
      </c>
      <c r="AD22" s="364">
        <v>15835.884353741496</v>
      </c>
      <c r="AE22" s="364">
        <v>16308.641975308643</v>
      </c>
      <c r="AF22" s="364">
        <v>16891.392519152771</v>
      </c>
      <c r="AG22" s="365">
        <v>17204.16478044364</v>
      </c>
      <c r="AH22" s="455">
        <v>17657.024793388431</v>
      </c>
      <c r="AI22" s="484">
        <v>18896.051974012993</v>
      </c>
      <c r="AJ22" s="484">
        <v>19765.426052889325</v>
      </c>
      <c r="AK22" s="484">
        <v>19853.339787028071</v>
      </c>
      <c r="AL22" s="484">
        <v>20291.206150888996</v>
      </c>
      <c r="AM22" s="484">
        <v>20606.220095693778</v>
      </c>
      <c r="AN22" s="484">
        <v>20688.899475940925</v>
      </c>
      <c r="AO22" s="484">
        <v>21464</v>
      </c>
      <c r="AP22" s="484">
        <v>21691</v>
      </c>
      <c r="AQ22" s="485"/>
      <c r="AR22" s="480" t="s">
        <v>307</v>
      </c>
      <c r="AS22" s="481"/>
      <c r="AT22" s="455">
        <v>37916</v>
      </c>
      <c r="AU22" s="486">
        <v>24.415939005228861</v>
      </c>
      <c r="AV22" s="455">
        <v>37246</v>
      </c>
      <c r="AW22" s="486">
        <v>24.184772021869279</v>
      </c>
      <c r="AX22" s="487">
        <v>36988</v>
      </c>
      <c r="AY22" s="486">
        <v>23.696433490720157</v>
      </c>
      <c r="AZ22" s="488">
        <v>37482</v>
      </c>
      <c r="BA22" s="366">
        <v>23.834111228395926</v>
      </c>
      <c r="BB22" s="489">
        <v>38004</v>
      </c>
      <c r="BC22" s="490">
        <v>23.374275012454717</v>
      </c>
      <c r="BD22" s="489">
        <v>38457</v>
      </c>
      <c r="BE22" s="490">
        <v>22.974078963875431</v>
      </c>
      <c r="BF22" s="489">
        <v>37811</v>
      </c>
      <c r="BG22" s="486">
        <f>+(BF22/$BF$79)*100</f>
        <v>21.370513992201463</v>
      </c>
      <c r="BH22" s="454">
        <v>41017</v>
      </c>
      <c r="BI22" s="486">
        <f>+(BH22/$BH$79)*100</f>
        <v>21.589906007033289</v>
      </c>
      <c r="BJ22" s="491">
        <v>42226</v>
      </c>
      <c r="BK22" s="486">
        <f>+(BJ22/$BJ$79)*100</f>
        <v>22.302433376854395</v>
      </c>
      <c r="BL22" s="484">
        <v>43067</v>
      </c>
      <c r="BM22" s="486">
        <f>+(BL22/$BL$79)*100</f>
        <v>22.446757554482915</v>
      </c>
      <c r="BN22" s="491">
        <v>43426</v>
      </c>
      <c r="BO22" s="486">
        <f>+(BN22/$BN$79)*100</f>
        <v>22.137531440433186</v>
      </c>
      <c r="BP22" s="454">
        <v>45288</v>
      </c>
      <c r="BQ22" s="486">
        <f t="shared" si="5"/>
        <v>22.583363668549943</v>
      </c>
      <c r="BR22" s="454">
        <v>45876</v>
      </c>
      <c r="BS22" s="492">
        <v>0.22800000000000001</v>
      </c>
      <c r="BT22" s="367"/>
      <c r="BU22" s="367"/>
      <c r="BV22" s="367"/>
      <c r="BW22" s="367"/>
      <c r="BX22" s="367"/>
      <c r="BY22" s="454"/>
      <c r="BZ22" s="367"/>
      <c r="CA22" s="454"/>
      <c r="CB22" s="455"/>
      <c r="CC22" s="455"/>
      <c r="CD22" s="455"/>
      <c r="CE22" s="455"/>
      <c r="CF22" s="455"/>
      <c r="CG22" s="455"/>
      <c r="CH22" s="455"/>
      <c r="CI22" s="455"/>
      <c r="CJ22" s="455"/>
      <c r="CK22" s="455"/>
      <c r="CL22" s="455"/>
      <c r="CM22" s="455"/>
    </row>
    <row r="23" spans="1:91" ht="15.75" hidden="1">
      <c r="B23" s="378" t="s">
        <v>308</v>
      </c>
      <c r="C23" s="379"/>
      <c r="D23" s="370">
        <v>326</v>
      </c>
      <c r="E23" s="370"/>
      <c r="F23" s="370">
        <v>320</v>
      </c>
      <c r="G23" s="370"/>
      <c r="H23" s="368">
        <v>306</v>
      </c>
      <c r="I23" s="368"/>
      <c r="J23" s="368">
        <v>299</v>
      </c>
      <c r="L23" s="494">
        <v>299</v>
      </c>
      <c r="N23" s="444">
        <v>300</v>
      </c>
      <c r="P23" s="495">
        <v>312</v>
      </c>
      <c r="R23" s="495">
        <v>335</v>
      </c>
      <c r="T23" s="495">
        <v>350</v>
      </c>
      <c r="U23" s="495">
        <v>355</v>
      </c>
      <c r="V23" s="495">
        <v>358</v>
      </c>
      <c r="W23" s="495">
        <v>366</v>
      </c>
      <c r="X23" s="495">
        <v>375</v>
      </c>
      <c r="Y23" s="495">
        <v>380</v>
      </c>
      <c r="Z23" s="468"/>
      <c r="AA23" s="444">
        <v>366</v>
      </c>
      <c r="AB23" s="378">
        <v>375</v>
      </c>
      <c r="AC23" s="369">
        <v>17071</v>
      </c>
      <c r="AD23" s="369">
        <v>16969</v>
      </c>
      <c r="AE23" s="369">
        <v>17680</v>
      </c>
      <c r="AF23" s="369">
        <v>17943</v>
      </c>
      <c r="AG23" s="444">
        <v>18244</v>
      </c>
      <c r="AH23" s="444">
        <v>19017</v>
      </c>
      <c r="AI23" s="495">
        <v>21634.615384615383</v>
      </c>
      <c r="AJ23" s="495">
        <v>22761.194029850747</v>
      </c>
      <c r="AK23" s="495">
        <v>22180</v>
      </c>
      <c r="AL23" s="495">
        <v>22445.070422535209</v>
      </c>
      <c r="AM23" s="495">
        <v>23201.117318435754</v>
      </c>
      <c r="AN23" s="495">
        <v>23163.934426229509</v>
      </c>
      <c r="AO23" s="495">
        <v>23976</v>
      </c>
      <c r="AP23" s="495">
        <v>24116</v>
      </c>
      <c r="AQ23" s="496"/>
      <c r="AS23" s="378" t="s">
        <v>308</v>
      </c>
      <c r="AT23" s="444">
        <v>5565</v>
      </c>
      <c r="AU23" s="477">
        <v>3.5835715941581023</v>
      </c>
      <c r="AV23" s="444">
        <v>5430</v>
      </c>
      <c r="AW23" s="477">
        <v>3.5258366557147123</v>
      </c>
      <c r="AX23" s="479">
        <v>5410</v>
      </c>
      <c r="AY23" s="477">
        <v>3.4659269272411608</v>
      </c>
      <c r="AZ23" s="368">
        <v>5365</v>
      </c>
      <c r="BA23" s="363">
        <v>3.4115043685060598</v>
      </c>
      <c r="BB23" s="497">
        <v>5455</v>
      </c>
      <c r="BC23" s="475">
        <v>3.3550855223908136</v>
      </c>
      <c r="BD23" s="497">
        <v>5705</v>
      </c>
      <c r="BE23" s="498">
        <v>3.4081472940923456</v>
      </c>
      <c r="BF23" s="497">
        <v>6750</v>
      </c>
      <c r="BG23" s="499">
        <f>+(BF23/$BF$79)*100</f>
        <v>3.8150530122810791</v>
      </c>
      <c r="BH23" s="446">
        <v>7763</v>
      </c>
      <c r="BI23" s="499">
        <f>+(BH23/$BH$79)*100</f>
        <v>4.0861701326913087</v>
      </c>
      <c r="BJ23" s="444">
        <v>7968</v>
      </c>
      <c r="BK23" s="499">
        <f>+(BJ23/$BJ$79)*100</f>
        <v>4.2084447768383422</v>
      </c>
      <c r="BL23" s="495">
        <v>8306</v>
      </c>
      <c r="BM23" s="499">
        <f>+(BL23/$BL$79)*100</f>
        <v>4.3291329381553183</v>
      </c>
      <c r="BN23" s="444">
        <v>8478</v>
      </c>
      <c r="BO23" s="499">
        <f>+(BN23/$BN$79)*100</f>
        <v>4.3218807063048068</v>
      </c>
      <c r="BP23" s="446">
        <v>8991</v>
      </c>
      <c r="BQ23" s="499">
        <f t="shared" si="5"/>
        <v>4.4834619047856501</v>
      </c>
      <c r="BR23" s="446">
        <v>9164</v>
      </c>
      <c r="BS23" s="500">
        <v>4.5499999999999999E-2</v>
      </c>
      <c r="BT23" s="367"/>
      <c r="BU23" s="367"/>
      <c r="BV23" s="367"/>
      <c r="BW23" s="367"/>
      <c r="BX23" s="367"/>
      <c r="BY23" s="367"/>
      <c r="BZ23" s="367"/>
      <c r="CA23" s="446"/>
    </row>
    <row r="24" spans="1:91" ht="15.75" hidden="1">
      <c r="B24" s="378" t="s">
        <v>309</v>
      </c>
      <c r="C24" s="379"/>
      <c r="D24" s="370">
        <v>1490</v>
      </c>
      <c r="E24" s="370"/>
      <c r="F24" s="370">
        <v>1449</v>
      </c>
      <c r="G24" s="370"/>
      <c r="H24" s="368">
        <v>1393</v>
      </c>
      <c r="I24" s="368"/>
      <c r="J24" s="368">
        <v>1369</v>
      </c>
      <c r="L24" s="494">
        <v>1365</v>
      </c>
      <c r="N24" s="444">
        <v>1344</v>
      </c>
      <c r="P24" s="495">
        <v>1236</v>
      </c>
      <c r="R24" s="495">
        <v>1247</v>
      </c>
      <c r="T24" s="495">
        <v>1252</v>
      </c>
      <c r="U24" s="495">
        <v>1257</v>
      </c>
      <c r="V24" s="495">
        <v>1262</v>
      </c>
      <c r="W24" s="495">
        <v>1265</v>
      </c>
      <c r="X24" s="495">
        <v>1270</v>
      </c>
      <c r="Y24" s="495">
        <v>1271</v>
      </c>
      <c r="Z24" s="468"/>
      <c r="AA24" s="444">
        <v>1265</v>
      </c>
      <c r="AB24" s="378">
        <v>1270</v>
      </c>
      <c r="AC24" s="369">
        <v>15397</v>
      </c>
      <c r="AD24" s="369">
        <v>15442.374051069704</v>
      </c>
      <c r="AE24" s="369">
        <v>16057.430007178751</v>
      </c>
      <c r="AF24" s="369">
        <v>16685</v>
      </c>
      <c r="AG24" s="444">
        <v>16902</v>
      </c>
      <c r="AH24" s="444">
        <v>17306</v>
      </c>
      <c r="AI24" s="495">
        <v>18500</v>
      </c>
      <c r="AJ24" s="495">
        <v>19310.344827586207</v>
      </c>
      <c r="AK24" s="495">
        <v>19546.325878594249</v>
      </c>
      <c r="AL24" s="495">
        <v>20078.75894988067</v>
      </c>
      <c r="AM24" s="495">
        <v>20411.251980982568</v>
      </c>
      <c r="AN24" s="495">
        <v>20599.209486166008</v>
      </c>
      <c r="AO24" s="495">
        <v>21436</v>
      </c>
      <c r="AP24" s="495">
        <v>21693</v>
      </c>
      <c r="AQ24" s="496"/>
      <c r="AS24" s="378" t="s">
        <v>309</v>
      </c>
      <c r="AT24" s="444">
        <v>22942</v>
      </c>
      <c r="AU24" s="477">
        <v>14.773459032017103</v>
      </c>
      <c r="AV24" s="444">
        <v>22376</v>
      </c>
      <c r="AW24" s="477">
        <v>14.529304053088842</v>
      </c>
      <c r="AX24" s="479">
        <v>22368</v>
      </c>
      <c r="AY24" s="477">
        <v>14.330102312112807</v>
      </c>
      <c r="AZ24" s="368">
        <v>22842</v>
      </c>
      <c r="BA24" s="363">
        <v>14.524805738194859</v>
      </c>
      <c r="BB24" s="497">
        <v>23071</v>
      </c>
      <c r="BC24" s="475">
        <v>14.189766835394769</v>
      </c>
      <c r="BD24" s="497">
        <v>23259</v>
      </c>
      <c r="BE24" s="498">
        <v>13.894846259998925</v>
      </c>
      <c r="BF24" s="497">
        <v>22866</v>
      </c>
      <c r="BG24" s="499">
        <f>+(BF24/$BF$79)*100</f>
        <v>12.923704026491729</v>
      </c>
      <c r="BH24" s="446">
        <v>24472</v>
      </c>
      <c r="BI24" s="499">
        <f>+(BH24/$BH$79)*100</f>
        <v>12.88119998547233</v>
      </c>
      <c r="BJ24" s="444">
        <v>25239</v>
      </c>
      <c r="BK24" s="499">
        <f>+(BJ24/$BJ$79)*100</f>
        <v>13.330438971212716</v>
      </c>
      <c r="BL24" s="495">
        <v>25759</v>
      </c>
      <c r="BM24" s="499">
        <f>+(BL24/$BL$79)*100</f>
        <v>13.425732645550548</v>
      </c>
      <c r="BN24" s="444">
        <v>26058</v>
      </c>
      <c r="BO24" s="499">
        <f>+(BN24/$BN$79)*100</f>
        <v>13.283742326597153</v>
      </c>
      <c r="BP24" s="446">
        <v>27224</v>
      </c>
      <c r="BQ24" s="499">
        <f t="shared" si="5"/>
        <v>13.57554964919192</v>
      </c>
      <c r="BR24" s="446">
        <v>27572</v>
      </c>
      <c r="BS24" s="500">
        <v>0.13700000000000001</v>
      </c>
      <c r="BT24" s="367"/>
      <c r="BU24" s="367"/>
      <c r="BV24" s="367"/>
      <c r="BW24" s="367"/>
      <c r="BX24" s="367"/>
      <c r="BY24" s="367"/>
      <c r="BZ24" s="367"/>
      <c r="CA24" s="446"/>
    </row>
    <row r="25" spans="1:91" ht="15.75" hidden="1">
      <c r="B25" s="378" t="s">
        <v>310</v>
      </c>
      <c r="C25" s="379"/>
      <c r="D25" s="370">
        <v>592</v>
      </c>
      <c r="E25" s="370"/>
      <c r="F25" s="370">
        <v>583</v>
      </c>
      <c r="G25" s="370"/>
      <c r="H25" s="368">
        <v>569</v>
      </c>
      <c r="I25" s="368"/>
      <c r="J25" s="368">
        <v>551</v>
      </c>
      <c r="L25" s="494">
        <v>545</v>
      </c>
      <c r="N25" s="444">
        <v>534</v>
      </c>
      <c r="P25" s="495">
        <v>453</v>
      </c>
      <c r="R25" s="495">
        <v>460</v>
      </c>
      <c r="T25" s="495">
        <v>464</v>
      </c>
      <c r="U25" s="495">
        <v>469</v>
      </c>
      <c r="V25" s="495">
        <v>470</v>
      </c>
      <c r="W25" s="495">
        <v>468</v>
      </c>
      <c r="X25" s="495">
        <v>465</v>
      </c>
      <c r="Y25" s="495">
        <v>464</v>
      </c>
      <c r="Z25" s="468"/>
      <c r="AA25" s="444">
        <v>468</v>
      </c>
      <c r="AB25" s="378">
        <v>465</v>
      </c>
      <c r="AC25" s="369">
        <v>15894</v>
      </c>
      <c r="AD25" s="369">
        <v>16192</v>
      </c>
      <c r="AE25" s="369">
        <v>16186</v>
      </c>
      <c r="AF25" s="369">
        <v>16833</v>
      </c>
      <c r="AG25" s="444">
        <v>17391</v>
      </c>
      <c r="AH25" s="444">
        <v>17777</v>
      </c>
      <c r="AI25" s="495">
        <v>18090.507726269316</v>
      </c>
      <c r="AJ25" s="495">
        <v>18817.391304347824</v>
      </c>
      <c r="AK25" s="495">
        <v>18926.724137931036</v>
      </c>
      <c r="AL25" s="495">
        <v>19230.277185501065</v>
      </c>
      <c r="AM25" s="495">
        <v>19153.191489361703</v>
      </c>
      <c r="AN25" s="495">
        <v>18995.726495726492</v>
      </c>
      <c r="AO25" s="495">
        <v>19512</v>
      </c>
      <c r="AP25" s="495">
        <v>19698</v>
      </c>
      <c r="AQ25" s="496"/>
      <c r="AS25" s="378" t="s">
        <v>310</v>
      </c>
      <c r="AT25" s="444">
        <v>9409</v>
      </c>
      <c r="AU25" s="477">
        <v>6.058908379053654</v>
      </c>
      <c r="AV25" s="444">
        <v>9440</v>
      </c>
      <c r="AW25" s="477">
        <v>6.1296313130657243</v>
      </c>
      <c r="AX25" s="479">
        <v>9210</v>
      </c>
      <c r="AY25" s="477">
        <v>5.9004042513661901</v>
      </c>
      <c r="AZ25" s="368">
        <v>9275</v>
      </c>
      <c r="BA25" s="363">
        <v>5.8978011216950055</v>
      </c>
      <c r="BB25" s="497">
        <v>9478</v>
      </c>
      <c r="BC25" s="475">
        <v>5.829422654669135</v>
      </c>
      <c r="BD25" s="497">
        <v>9493</v>
      </c>
      <c r="BE25" s="498">
        <v>5.671085409784161</v>
      </c>
      <c r="BF25" s="497">
        <v>8195</v>
      </c>
      <c r="BG25" s="499">
        <f>+(BF25/$BF$79)*100</f>
        <v>4.631756953428658</v>
      </c>
      <c r="BH25" s="446">
        <v>8782</v>
      </c>
      <c r="BI25" s="499">
        <f>+(BH25/$BH$79)*100</f>
        <v>4.6225358888696482</v>
      </c>
      <c r="BJ25" s="444">
        <v>9019</v>
      </c>
      <c r="BK25" s="499">
        <f>+(BJ25/$BJ$79)*100</f>
        <v>4.7635496288033394</v>
      </c>
      <c r="BL25" s="495">
        <v>9002</v>
      </c>
      <c r="BM25" s="499">
        <f>+(BL25/$BL$79)*100</f>
        <v>4.6918919707770499</v>
      </c>
      <c r="BN25" s="444">
        <v>8890</v>
      </c>
      <c r="BO25" s="499">
        <f>+(BN25/$BN$79)*100</f>
        <v>4.5319084075312261</v>
      </c>
      <c r="BP25" s="446">
        <v>9073</v>
      </c>
      <c r="BQ25" s="499">
        <f t="shared" si="5"/>
        <v>4.5243521145723733</v>
      </c>
      <c r="BR25" s="446">
        <v>9140</v>
      </c>
      <c r="BS25" s="500">
        <v>4.5400000000000003E-2</v>
      </c>
      <c r="BT25" s="367"/>
      <c r="BU25" s="367"/>
      <c r="BV25" s="367"/>
      <c r="BW25" s="367"/>
      <c r="BX25" s="367"/>
      <c r="BY25" s="367"/>
      <c r="BZ25" s="367"/>
      <c r="CA25" s="446"/>
    </row>
    <row r="26" spans="1:91" ht="15.75" hidden="1">
      <c r="B26" s="468"/>
      <c r="C26" s="446"/>
      <c r="D26" s="502"/>
      <c r="E26" s="502"/>
      <c r="F26" s="370"/>
      <c r="G26" s="502"/>
      <c r="H26" s="368"/>
      <c r="I26" s="368"/>
      <c r="J26" s="368"/>
      <c r="L26" s="494"/>
      <c r="P26" s="495"/>
      <c r="R26" s="495"/>
      <c r="T26" s="495"/>
      <c r="U26" s="495"/>
      <c r="V26" s="495"/>
      <c r="W26" s="495"/>
      <c r="X26" s="495"/>
      <c r="Y26" s="495"/>
      <c r="Z26" s="468"/>
      <c r="AB26" s="468"/>
      <c r="AC26" s="369"/>
      <c r="AD26" s="369"/>
      <c r="AE26" s="369"/>
      <c r="AF26" s="369"/>
      <c r="AI26" s="495"/>
      <c r="AJ26" s="495"/>
      <c r="AK26" s="495"/>
      <c r="AL26" s="495"/>
      <c r="AM26" s="495"/>
      <c r="AN26" s="495"/>
      <c r="AO26" s="495"/>
      <c r="AP26" s="495"/>
      <c r="AQ26" s="496"/>
      <c r="AS26" s="468"/>
      <c r="AU26" s="477"/>
      <c r="AV26" s="444"/>
      <c r="AW26" s="477"/>
      <c r="AX26" s="479"/>
      <c r="AY26" s="477"/>
      <c r="AZ26" s="504"/>
      <c r="BA26" s="363"/>
      <c r="BB26" s="489"/>
      <c r="BC26" s="475"/>
      <c r="BD26" s="489"/>
      <c r="BE26" s="490"/>
      <c r="BF26" s="489"/>
      <c r="BG26" s="477"/>
      <c r="BH26" s="454"/>
      <c r="BI26" s="499"/>
      <c r="BJ26" s="446"/>
      <c r="BK26" s="499"/>
      <c r="BL26" s="495"/>
      <c r="BM26" s="499"/>
      <c r="BN26" s="446"/>
      <c r="BO26" s="499"/>
      <c r="BP26" s="446"/>
      <c r="BQ26" s="499"/>
      <c r="BR26" s="446"/>
      <c r="BS26" s="500"/>
      <c r="BT26" s="367"/>
      <c r="BU26" s="367"/>
      <c r="BV26" s="367"/>
      <c r="BW26" s="446"/>
      <c r="BX26" s="446"/>
      <c r="BY26" s="446"/>
      <c r="BZ26" s="446"/>
      <c r="CA26" s="446"/>
    </row>
    <row r="27" spans="1:91" ht="16.149999999999999" hidden="1" customHeight="1">
      <c r="A27" s="480" t="s">
        <v>311</v>
      </c>
      <c r="B27" s="468"/>
      <c r="C27" s="446"/>
      <c r="D27" s="365">
        <v>1025</v>
      </c>
      <c r="E27" s="365"/>
      <c r="F27" s="365">
        <v>984</v>
      </c>
      <c r="G27" s="365"/>
      <c r="H27" s="482">
        <v>947</v>
      </c>
      <c r="I27" s="482"/>
      <c r="J27" s="482">
        <v>920</v>
      </c>
      <c r="L27" s="505">
        <v>895</v>
      </c>
      <c r="N27" s="505">
        <v>897</v>
      </c>
      <c r="P27" s="484">
        <v>842</v>
      </c>
      <c r="Q27" s="505"/>
      <c r="R27" s="484">
        <v>869</v>
      </c>
      <c r="S27" s="505"/>
      <c r="T27" s="484">
        <v>875</v>
      </c>
      <c r="U27" s="484">
        <v>869</v>
      </c>
      <c r="V27" s="484">
        <v>850</v>
      </c>
      <c r="W27" s="484">
        <v>837</v>
      </c>
      <c r="X27" s="484">
        <v>842</v>
      </c>
      <c r="Y27" s="484">
        <v>843</v>
      </c>
      <c r="Z27" s="468"/>
      <c r="AA27" s="480">
        <v>837</v>
      </c>
      <c r="AB27" s="468">
        <v>843</v>
      </c>
      <c r="AC27" s="364">
        <v>15560.975609756097</v>
      </c>
      <c r="AD27" s="364">
        <v>15243.90243902439</v>
      </c>
      <c r="AE27" s="364">
        <v>15693.769799366421</v>
      </c>
      <c r="AF27" s="364">
        <v>16194.565217391304</v>
      </c>
      <c r="AG27" s="365">
        <v>16416.759776536313</v>
      </c>
      <c r="AH27" s="455">
        <v>16907.469342251949</v>
      </c>
      <c r="AI27" s="484">
        <v>18725.653206650833</v>
      </c>
      <c r="AJ27" s="484">
        <v>18669.735327963179</v>
      </c>
      <c r="AK27" s="484">
        <v>18565.714285714286</v>
      </c>
      <c r="AL27" s="484">
        <v>18926.352128883773</v>
      </c>
      <c r="AM27" s="484">
        <v>19169.411764705881</v>
      </c>
      <c r="AN27" s="484">
        <v>19508.960573476703</v>
      </c>
      <c r="AO27" s="484">
        <v>20112</v>
      </c>
      <c r="AP27" s="484">
        <v>20299</v>
      </c>
      <c r="AQ27" s="485"/>
      <c r="AR27" s="480" t="s">
        <v>311</v>
      </c>
      <c r="AS27" s="481"/>
      <c r="AT27" s="455">
        <v>15950</v>
      </c>
      <c r="AU27" s="486">
        <v>10.270973392061407</v>
      </c>
      <c r="AV27" s="455">
        <v>15000</v>
      </c>
      <c r="AW27" s="486">
        <v>9.7398802644052829</v>
      </c>
      <c r="AX27" s="487">
        <v>14862</v>
      </c>
      <c r="AY27" s="486">
        <v>9.5213689450384713</v>
      </c>
      <c r="AZ27" s="488">
        <v>14899</v>
      </c>
      <c r="BA27" s="366">
        <v>9.4739988045427381</v>
      </c>
      <c r="BB27" s="489">
        <v>14693</v>
      </c>
      <c r="BC27" s="490">
        <v>9.036896715029922</v>
      </c>
      <c r="BD27" s="489">
        <v>15166</v>
      </c>
      <c r="BE27" s="490">
        <v>9.0601160144092052</v>
      </c>
      <c r="BF27" s="489">
        <v>15767</v>
      </c>
      <c r="BG27" s="486">
        <f t="shared" ref="BG27:BG32" si="6">+(BF27/$BF$79)*100</f>
        <v>8.9113986436497434</v>
      </c>
      <c r="BH27" s="454">
        <v>16245</v>
      </c>
      <c r="BI27" s="486">
        <f t="shared" ref="BI27:BI32" si="7">+(BH27/$BH$79)*100</f>
        <v>8.5507965742071779</v>
      </c>
      <c r="BJ27" s="491">
        <v>16447</v>
      </c>
      <c r="BK27" s="486">
        <f t="shared" ref="BK27:BK32" si="8">+(BJ27/$BJ$79)*100</f>
        <v>8.6867835397414925</v>
      </c>
      <c r="BL27" s="484">
        <v>16294</v>
      </c>
      <c r="BM27" s="486">
        <f t="shared" ref="BM27:BM32" si="9">+(BL27/$BL$79)*100</f>
        <v>8.492522525198984</v>
      </c>
      <c r="BN27" s="491">
        <v>16329</v>
      </c>
      <c r="BO27" s="486">
        <f t="shared" ref="BO27:BO32" si="10">+(BN27/$BN$79)*100</f>
        <v>8.3241318770053301</v>
      </c>
      <c r="BP27" s="454">
        <v>16934</v>
      </c>
      <c r="BQ27" s="486">
        <f t="shared" si="5"/>
        <v>8.4443269820531874</v>
      </c>
      <c r="BR27" s="454">
        <v>17112</v>
      </c>
      <c r="BS27" s="492">
        <v>8.5000000000000006E-2</v>
      </c>
      <c r="BT27" s="367"/>
      <c r="BU27" s="367"/>
      <c r="BV27" s="367"/>
      <c r="BW27" s="367"/>
      <c r="BX27" s="367"/>
      <c r="BY27" s="367"/>
      <c r="BZ27" s="367"/>
      <c r="CA27" s="454"/>
      <c r="CB27" s="455"/>
      <c r="CC27" s="455"/>
      <c r="CD27" s="455"/>
      <c r="CE27" s="455"/>
      <c r="CF27" s="455"/>
      <c r="CG27" s="455"/>
      <c r="CH27" s="455"/>
      <c r="CI27" s="455"/>
      <c r="CJ27" s="455"/>
      <c r="CK27" s="455"/>
      <c r="CL27" s="455"/>
      <c r="CM27" s="455"/>
    </row>
    <row r="28" spans="1:91" ht="15.75" hidden="1">
      <c r="B28" s="378" t="s">
        <v>312</v>
      </c>
      <c r="C28" s="379"/>
      <c r="D28" s="370">
        <v>289</v>
      </c>
      <c r="E28" s="370"/>
      <c r="F28" s="370">
        <v>281</v>
      </c>
      <c r="G28" s="370"/>
      <c r="H28" s="368">
        <v>270</v>
      </c>
      <c r="I28" s="368"/>
      <c r="J28" s="368">
        <v>264</v>
      </c>
      <c r="L28" s="494">
        <v>260</v>
      </c>
      <c r="N28" s="444">
        <v>262</v>
      </c>
      <c r="P28" s="495">
        <v>270</v>
      </c>
      <c r="R28" s="495">
        <v>275</v>
      </c>
      <c r="T28" s="495">
        <v>280</v>
      </c>
      <c r="U28" s="495">
        <v>277</v>
      </c>
      <c r="V28" s="495">
        <v>271</v>
      </c>
      <c r="W28" s="495">
        <v>268</v>
      </c>
      <c r="X28" s="495">
        <v>270</v>
      </c>
      <c r="Y28" s="495">
        <v>270</v>
      </c>
      <c r="Z28" s="468"/>
      <c r="AA28" s="444">
        <v>268</v>
      </c>
      <c r="AB28" s="378">
        <v>270</v>
      </c>
      <c r="AC28" s="369">
        <v>15917</v>
      </c>
      <c r="AD28" s="369">
        <v>15516</v>
      </c>
      <c r="AE28" s="369">
        <v>16352</v>
      </c>
      <c r="AF28" s="369">
        <v>16705</v>
      </c>
      <c r="AG28" s="444">
        <v>17077</v>
      </c>
      <c r="AH28" s="444">
        <v>17027</v>
      </c>
      <c r="AI28" s="495">
        <v>17566.666666666668</v>
      </c>
      <c r="AJ28" s="495">
        <v>18109.090909090908</v>
      </c>
      <c r="AK28" s="495">
        <v>18321.428571428572</v>
      </c>
      <c r="AL28" s="495">
        <v>18743.682310469314</v>
      </c>
      <c r="AM28" s="495">
        <v>19335.793357933577</v>
      </c>
      <c r="AN28" s="495">
        <v>19194.029850746268</v>
      </c>
      <c r="AO28" s="495">
        <v>19833</v>
      </c>
      <c r="AP28" s="495">
        <v>20178</v>
      </c>
      <c r="AQ28" s="496"/>
      <c r="AS28" s="378" t="s">
        <v>312</v>
      </c>
      <c r="AT28" s="444">
        <v>4600</v>
      </c>
      <c r="AU28" s="477">
        <v>2.962161605234011</v>
      </c>
      <c r="AV28" s="444">
        <v>4360</v>
      </c>
      <c r="AW28" s="477">
        <v>2.8310585301871356</v>
      </c>
      <c r="AX28" s="479">
        <v>4415</v>
      </c>
      <c r="AY28" s="477">
        <v>2.8284782594768436</v>
      </c>
      <c r="AZ28" s="368">
        <v>4410</v>
      </c>
      <c r="BA28" s="363">
        <v>2.8042375144663048</v>
      </c>
      <c r="BB28" s="497">
        <v>4440</v>
      </c>
      <c r="BC28" s="475">
        <v>2.7308120475554927</v>
      </c>
      <c r="BD28" s="497">
        <v>4461</v>
      </c>
      <c r="BE28" s="498">
        <v>2.6649859910509996</v>
      </c>
      <c r="BF28" s="497">
        <v>4743</v>
      </c>
      <c r="BG28" s="499">
        <f t="shared" si="6"/>
        <v>2.6807105832961717</v>
      </c>
      <c r="BH28" s="446">
        <v>5130</v>
      </c>
      <c r="BI28" s="499">
        <f t="shared" si="7"/>
        <v>2.7002515497496349</v>
      </c>
      <c r="BJ28" s="444">
        <v>5192</v>
      </c>
      <c r="BK28" s="499">
        <f t="shared" si="8"/>
        <v>2.7422496588032974</v>
      </c>
      <c r="BL28" s="495">
        <v>5240</v>
      </c>
      <c r="BM28" s="499">
        <f t="shared" si="9"/>
        <v>2.7311168547957942</v>
      </c>
      <c r="BN28" s="444">
        <v>5144</v>
      </c>
      <c r="BO28" s="499">
        <f t="shared" si="10"/>
        <v>2.6222876094871346</v>
      </c>
      <c r="BP28" s="446">
        <v>5355</v>
      </c>
      <c r="BQ28" s="499">
        <f t="shared" si="5"/>
        <v>2.6703301635109731</v>
      </c>
      <c r="BR28" s="446">
        <v>5448</v>
      </c>
      <c r="BS28" s="500">
        <v>2.7099999999999999E-2</v>
      </c>
      <c r="BT28" s="367"/>
      <c r="BU28" s="367"/>
      <c r="BV28" s="367"/>
      <c r="BW28" s="367"/>
      <c r="BX28" s="367"/>
      <c r="BY28" s="367"/>
      <c r="BZ28" s="367"/>
      <c r="CA28" s="446"/>
    </row>
    <row r="29" spans="1:91" ht="15.75" hidden="1">
      <c r="B29" s="378" t="s">
        <v>313</v>
      </c>
      <c r="C29" s="379"/>
      <c r="D29" s="370">
        <v>144</v>
      </c>
      <c r="E29" s="370"/>
      <c r="F29" s="370">
        <v>140</v>
      </c>
      <c r="G29" s="370"/>
      <c r="H29" s="368">
        <v>137</v>
      </c>
      <c r="I29" s="368"/>
      <c r="J29" s="368">
        <v>136</v>
      </c>
      <c r="L29" s="494">
        <v>136</v>
      </c>
      <c r="N29" s="444">
        <v>146</v>
      </c>
      <c r="P29" s="495">
        <v>156</v>
      </c>
      <c r="R29" s="495">
        <v>166</v>
      </c>
      <c r="T29" s="495">
        <v>167</v>
      </c>
      <c r="U29" s="495">
        <v>168</v>
      </c>
      <c r="V29" s="495">
        <v>170</v>
      </c>
      <c r="W29" s="495">
        <v>172</v>
      </c>
      <c r="X29" s="495">
        <v>175</v>
      </c>
      <c r="Y29" s="495">
        <v>176</v>
      </c>
      <c r="Z29" s="468"/>
      <c r="AA29" s="444">
        <v>172</v>
      </c>
      <c r="AB29" s="378">
        <v>175</v>
      </c>
      <c r="AC29" s="369">
        <v>15375</v>
      </c>
      <c r="AD29" s="369">
        <v>15471.428571428571</v>
      </c>
      <c r="AE29" s="369">
        <v>15978</v>
      </c>
      <c r="AF29" s="369">
        <v>16103</v>
      </c>
      <c r="AG29" s="444">
        <v>16066</v>
      </c>
      <c r="AH29" s="444">
        <v>16568</v>
      </c>
      <c r="AI29" s="495">
        <v>20294.871794871797</v>
      </c>
      <c r="AJ29" s="495">
        <v>20307.22891566265</v>
      </c>
      <c r="AK29" s="495">
        <v>19682.634730538921</v>
      </c>
      <c r="AL29" s="495">
        <v>20136.904761904763</v>
      </c>
      <c r="AM29" s="495">
        <v>19941.176470588234</v>
      </c>
      <c r="AN29" s="495">
        <v>20656.976744186046</v>
      </c>
      <c r="AO29" s="495">
        <v>21406</v>
      </c>
      <c r="AP29" s="495">
        <v>21761</v>
      </c>
      <c r="AQ29" s="496"/>
      <c r="AS29" s="378" t="s">
        <v>313</v>
      </c>
      <c r="AT29" s="444">
        <v>2214</v>
      </c>
      <c r="AU29" s="477">
        <v>1.4257012595626304</v>
      </c>
      <c r="AV29" s="444">
        <v>2166</v>
      </c>
      <c r="AW29" s="477">
        <v>1.4064387101801228</v>
      </c>
      <c r="AX29" s="479">
        <v>2189</v>
      </c>
      <c r="AY29" s="477">
        <v>1.4023870690814972</v>
      </c>
      <c r="AZ29" s="368">
        <v>2190</v>
      </c>
      <c r="BA29" s="363">
        <v>1.3925805343948316</v>
      </c>
      <c r="BB29" s="497">
        <v>2185</v>
      </c>
      <c r="BC29" s="475">
        <v>1.3438793522317007</v>
      </c>
      <c r="BD29" s="497">
        <v>2419</v>
      </c>
      <c r="BE29" s="498">
        <v>1.4451022444188228</v>
      </c>
      <c r="BF29" s="497">
        <v>3166</v>
      </c>
      <c r="BG29" s="499">
        <f t="shared" si="6"/>
        <v>1.7894011610195402</v>
      </c>
      <c r="BH29" s="446">
        <v>3287</v>
      </c>
      <c r="BI29" s="499">
        <f t="shared" si="7"/>
        <v>1.730161178172914</v>
      </c>
      <c r="BJ29" s="444">
        <v>3383</v>
      </c>
      <c r="BK29" s="499">
        <f t="shared" si="8"/>
        <v>1.7867932580376646</v>
      </c>
      <c r="BL29" s="495">
        <v>3390</v>
      </c>
      <c r="BM29" s="499">
        <f t="shared" si="9"/>
        <v>1.7668866675110195</v>
      </c>
      <c r="BN29" s="444">
        <v>3553</v>
      </c>
      <c r="BO29" s="499">
        <f t="shared" si="10"/>
        <v>1.8112340350909388</v>
      </c>
      <c r="BP29" s="446">
        <v>3746</v>
      </c>
      <c r="BQ29" s="499">
        <f t="shared" si="5"/>
        <v>1.867984461720281</v>
      </c>
      <c r="BR29" s="446">
        <v>3830</v>
      </c>
      <c r="BS29" s="500">
        <v>1.9E-2</v>
      </c>
      <c r="BT29" s="367"/>
      <c r="BU29" s="367"/>
      <c r="BV29" s="367"/>
      <c r="BW29" s="367"/>
      <c r="BX29" s="367"/>
      <c r="BY29" s="367"/>
      <c r="BZ29" s="367"/>
      <c r="CA29" s="446"/>
    </row>
    <row r="30" spans="1:91" ht="15.75" hidden="1">
      <c r="B30" s="378" t="s">
        <v>314</v>
      </c>
      <c r="C30" s="379"/>
      <c r="D30" s="370">
        <v>151</v>
      </c>
      <c r="E30" s="370"/>
      <c r="F30" s="370">
        <v>140</v>
      </c>
      <c r="G30" s="370"/>
      <c r="H30" s="368">
        <v>133</v>
      </c>
      <c r="I30" s="368"/>
      <c r="J30" s="368">
        <v>128</v>
      </c>
      <c r="L30" s="494">
        <v>123</v>
      </c>
      <c r="N30" s="444">
        <v>120</v>
      </c>
      <c r="P30" s="495">
        <v>104</v>
      </c>
      <c r="R30" s="495">
        <v>103</v>
      </c>
      <c r="T30" s="495">
        <v>102</v>
      </c>
      <c r="U30" s="495">
        <v>102</v>
      </c>
      <c r="V30" s="495">
        <v>100</v>
      </c>
      <c r="W30" s="495">
        <v>98</v>
      </c>
      <c r="X30" s="495">
        <v>98</v>
      </c>
      <c r="Y30" s="495">
        <v>97</v>
      </c>
      <c r="Z30" s="468"/>
      <c r="AA30" s="444">
        <v>98</v>
      </c>
      <c r="AB30" s="378">
        <v>100</v>
      </c>
      <c r="AC30" s="369">
        <v>15887</v>
      </c>
      <c r="AD30" s="369">
        <v>16050</v>
      </c>
      <c r="AE30" s="369">
        <v>16564</v>
      </c>
      <c r="AF30" s="369">
        <v>16570</v>
      </c>
      <c r="AG30" s="444">
        <v>16496</v>
      </c>
      <c r="AH30" s="444">
        <v>17450</v>
      </c>
      <c r="AI30" s="495">
        <v>18826.923076923078</v>
      </c>
      <c r="AJ30" s="495">
        <v>18611.650485436894</v>
      </c>
      <c r="AK30" s="495">
        <v>18568.627450980395</v>
      </c>
      <c r="AL30" s="495">
        <v>18872.549019607843</v>
      </c>
      <c r="AM30" s="495">
        <v>19050</v>
      </c>
      <c r="AN30" s="495">
        <v>19357.142857142859</v>
      </c>
      <c r="AO30" s="495">
        <v>19541</v>
      </c>
      <c r="AP30" s="495">
        <v>19371</v>
      </c>
      <c r="AQ30" s="496"/>
      <c r="AS30" s="378" t="s">
        <v>314</v>
      </c>
      <c r="AT30" s="444">
        <v>2399</v>
      </c>
      <c r="AU30" s="477">
        <v>1.5448316719470416</v>
      </c>
      <c r="AV30" s="444">
        <v>2247</v>
      </c>
      <c r="AW30" s="477">
        <v>1.4590340636079113</v>
      </c>
      <c r="AX30" s="479">
        <v>2203</v>
      </c>
      <c r="AY30" s="477">
        <v>1.4113561960651158</v>
      </c>
      <c r="AZ30" s="368">
        <v>2121</v>
      </c>
      <c r="BA30" s="363">
        <v>1.348704709338556</v>
      </c>
      <c r="BB30" s="497">
        <v>2029</v>
      </c>
      <c r="BC30" s="475">
        <v>1.2479319019121835</v>
      </c>
      <c r="BD30" s="497">
        <v>2094</v>
      </c>
      <c r="BE30" s="498">
        <v>1.250948367016542</v>
      </c>
      <c r="BF30" s="497">
        <v>1958</v>
      </c>
      <c r="BG30" s="499">
        <f t="shared" si="6"/>
        <v>1.1066479700809413</v>
      </c>
      <c r="BH30" s="446">
        <v>1894</v>
      </c>
      <c r="BI30" s="499">
        <f t="shared" si="7"/>
        <v>0.99693497762686312</v>
      </c>
      <c r="BJ30" s="444">
        <v>1925</v>
      </c>
      <c r="BK30" s="499">
        <f t="shared" si="8"/>
        <v>1.0167239201071547</v>
      </c>
      <c r="BL30" s="495">
        <v>1905</v>
      </c>
      <c r="BM30" s="499">
        <f t="shared" si="9"/>
        <v>0.9928964901499977</v>
      </c>
      <c r="BN30" s="444">
        <v>1897</v>
      </c>
      <c r="BO30" s="499">
        <f t="shared" si="10"/>
        <v>0.96704502239445855</v>
      </c>
      <c r="BP30" s="446">
        <v>1915</v>
      </c>
      <c r="BQ30" s="499">
        <f t="shared" si="5"/>
        <v>0.95493599684846187</v>
      </c>
      <c r="BR30" s="446">
        <v>1879</v>
      </c>
      <c r="BS30" s="500">
        <v>9.2999999999999992E-3</v>
      </c>
      <c r="BT30" s="367"/>
      <c r="BU30" s="367"/>
      <c r="BV30" s="367"/>
      <c r="BW30" s="367"/>
      <c r="BX30" s="367"/>
      <c r="BY30" s="367"/>
      <c r="BZ30" s="367"/>
      <c r="CA30" s="446"/>
    </row>
    <row r="31" spans="1:91" ht="15.75" hidden="1">
      <c r="B31" s="378" t="s">
        <v>315</v>
      </c>
      <c r="C31" s="379"/>
      <c r="D31" s="370">
        <v>251</v>
      </c>
      <c r="E31" s="370"/>
      <c r="F31" s="370">
        <v>241</v>
      </c>
      <c r="G31" s="370"/>
      <c r="H31" s="368">
        <v>230</v>
      </c>
      <c r="I31" s="368"/>
      <c r="J31" s="368">
        <v>222</v>
      </c>
      <c r="L31" s="494">
        <v>217</v>
      </c>
      <c r="N31" s="444">
        <v>215</v>
      </c>
      <c r="P31" s="495">
        <v>195</v>
      </c>
      <c r="R31" s="495">
        <v>213</v>
      </c>
      <c r="T31" s="495">
        <v>216</v>
      </c>
      <c r="U31" s="495">
        <v>215</v>
      </c>
      <c r="V31" s="495">
        <v>210</v>
      </c>
      <c r="W31" s="495">
        <v>204</v>
      </c>
      <c r="X31" s="495">
        <v>205</v>
      </c>
      <c r="Y31" s="495">
        <v>208</v>
      </c>
      <c r="Z31" s="468"/>
      <c r="AA31" s="444">
        <v>204</v>
      </c>
      <c r="AB31" s="378">
        <v>204</v>
      </c>
      <c r="AC31" s="369">
        <v>16124</v>
      </c>
      <c r="AD31" s="369">
        <v>15701</v>
      </c>
      <c r="AE31" s="369">
        <v>16057</v>
      </c>
      <c r="AF31" s="369">
        <v>17167</v>
      </c>
      <c r="AG31" s="444">
        <v>17521</v>
      </c>
      <c r="AH31" s="444">
        <v>18298</v>
      </c>
      <c r="AI31" s="495">
        <v>20641.025641025641</v>
      </c>
      <c r="AJ31" s="495">
        <v>20084.507042253521</v>
      </c>
      <c r="AK31" s="495">
        <v>19995.370370370369</v>
      </c>
      <c r="AL31" s="495">
        <v>20367.441860465118</v>
      </c>
      <c r="AM31" s="495">
        <v>20652.38095238095</v>
      </c>
      <c r="AN31" s="495">
        <v>21308.823529411766</v>
      </c>
      <c r="AO31" s="495">
        <v>22010</v>
      </c>
      <c r="AP31" s="495">
        <v>22144</v>
      </c>
      <c r="AQ31" s="496"/>
      <c r="AS31" s="378" t="s">
        <v>315</v>
      </c>
      <c r="AT31" s="444">
        <v>4047</v>
      </c>
      <c r="AU31" s="477">
        <v>2.6060582644308785</v>
      </c>
      <c r="AV31" s="444">
        <v>3784</v>
      </c>
      <c r="AW31" s="477">
        <v>2.4570471280339725</v>
      </c>
      <c r="AX31" s="479">
        <v>3693</v>
      </c>
      <c r="AY31" s="477">
        <v>2.3659275678930882</v>
      </c>
      <c r="AZ31" s="368">
        <v>3811</v>
      </c>
      <c r="BA31" s="363">
        <v>2.4233444824560286</v>
      </c>
      <c r="BB31" s="497">
        <v>3802</v>
      </c>
      <c r="BC31" s="475">
        <v>2.3384115776590053</v>
      </c>
      <c r="BD31" s="497">
        <v>3934</v>
      </c>
      <c r="BE31" s="498">
        <v>2.350158011386378</v>
      </c>
      <c r="BF31" s="497">
        <v>4025</v>
      </c>
      <c r="BG31" s="499">
        <f t="shared" si="6"/>
        <v>2.2749019813972362</v>
      </c>
      <c r="BH31" s="446">
        <v>4319</v>
      </c>
      <c r="BI31" s="499">
        <f t="shared" si="7"/>
        <v>2.2733696770699163</v>
      </c>
      <c r="BJ31" s="444">
        <v>4379</v>
      </c>
      <c r="BK31" s="499">
        <f t="shared" si="8"/>
        <v>2.3128488551424575</v>
      </c>
      <c r="BL31" s="495">
        <v>4337</v>
      </c>
      <c r="BM31" s="499">
        <f t="shared" si="9"/>
        <v>2.2604682822994961</v>
      </c>
      <c r="BN31" s="444">
        <v>4347</v>
      </c>
      <c r="BO31" s="499">
        <f t="shared" si="10"/>
        <v>2.2159961583282608</v>
      </c>
      <c r="BP31" s="446">
        <v>4512</v>
      </c>
      <c r="BQ31" s="499">
        <f t="shared" si="5"/>
        <v>2.2499588604596656</v>
      </c>
      <c r="BR31" s="446">
        <v>4606</v>
      </c>
      <c r="BS31" s="500">
        <v>2.29E-2</v>
      </c>
      <c r="BT31" s="367"/>
      <c r="BU31" s="367"/>
      <c r="BV31" s="367"/>
      <c r="BW31" s="367"/>
      <c r="BX31" s="367"/>
      <c r="BY31" s="367"/>
      <c r="BZ31" s="367"/>
      <c r="CA31" s="446"/>
    </row>
    <row r="32" spans="1:91" ht="15.75" hidden="1">
      <c r="B32" s="378" t="s">
        <v>316</v>
      </c>
      <c r="C32" s="379"/>
      <c r="D32" s="370">
        <v>190</v>
      </c>
      <c r="E32" s="370"/>
      <c r="F32" s="370">
        <v>182</v>
      </c>
      <c r="G32" s="370"/>
      <c r="H32" s="368">
        <v>177</v>
      </c>
      <c r="I32" s="368"/>
      <c r="J32" s="368">
        <v>170</v>
      </c>
      <c r="L32" s="494">
        <v>159</v>
      </c>
      <c r="N32" s="444">
        <v>154</v>
      </c>
      <c r="P32" s="495">
        <v>117</v>
      </c>
      <c r="R32" s="495">
        <v>112</v>
      </c>
      <c r="T32" s="495">
        <v>110</v>
      </c>
      <c r="U32" s="495">
        <v>107</v>
      </c>
      <c r="V32" s="495">
        <v>99</v>
      </c>
      <c r="W32" s="495">
        <v>95</v>
      </c>
      <c r="X32" s="495">
        <v>94</v>
      </c>
      <c r="Y32" s="495">
        <v>92</v>
      </c>
      <c r="Z32" s="468"/>
      <c r="AA32" s="444">
        <v>95</v>
      </c>
      <c r="AB32" s="378">
        <v>94</v>
      </c>
      <c r="AC32" s="369">
        <v>14158</v>
      </c>
      <c r="AD32" s="369">
        <v>13423</v>
      </c>
      <c r="AE32" s="369">
        <v>13345</v>
      </c>
      <c r="AF32" s="369">
        <v>13924</v>
      </c>
      <c r="AG32" s="444">
        <v>14069</v>
      </c>
      <c r="AH32" s="444">
        <v>14662</v>
      </c>
      <c r="AI32" s="495">
        <v>16025.641025641025</v>
      </c>
      <c r="AJ32" s="495">
        <v>14982.142857142857</v>
      </c>
      <c r="AK32" s="495">
        <v>14681.818181818182</v>
      </c>
      <c r="AL32" s="495">
        <v>14654.205607476635</v>
      </c>
      <c r="AM32" s="495">
        <v>14363.636363636364</v>
      </c>
      <c r="AN32" s="495">
        <v>14610.526315789473</v>
      </c>
      <c r="AO32" s="495">
        <v>14957</v>
      </c>
      <c r="AP32" s="495">
        <v>14663</v>
      </c>
      <c r="AQ32" s="496"/>
      <c r="AS32" s="378" t="s">
        <v>316</v>
      </c>
      <c r="AT32" s="444">
        <v>2690</v>
      </c>
      <c r="AU32" s="477">
        <v>1.7322205908868453</v>
      </c>
      <c r="AV32" s="444">
        <v>2443</v>
      </c>
      <c r="AW32" s="477">
        <v>1.5863018323961404</v>
      </c>
      <c r="AX32" s="479">
        <v>2362</v>
      </c>
      <c r="AY32" s="477">
        <v>1.5132198525219263</v>
      </c>
      <c r="AZ32" s="368">
        <v>2367</v>
      </c>
      <c r="BA32" s="363">
        <v>1.5051315638870166</v>
      </c>
      <c r="BB32" s="497">
        <v>2237</v>
      </c>
      <c r="BC32" s="475">
        <v>1.37586183567154</v>
      </c>
      <c r="BD32" s="497">
        <v>2258</v>
      </c>
      <c r="BE32" s="498">
        <v>1.348921400536462</v>
      </c>
      <c r="BF32" s="497">
        <v>1875</v>
      </c>
      <c r="BG32" s="499">
        <f t="shared" si="6"/>
        <v>1.0597369478558554</v>
      </c>
      <c r="BH32" s="446">
        <v>1615</v>
      </c>
      <c r="BI32" s="499">
        <f t="shared" si="7"/>
        <v>0.85007919158784795</v>
      </c>
      <c r="BJ32" s="444">
        <v>1568</v>
      </c>
      <c r="BK32" s="499">
        <f t="shared" si="8"/>
        <v>0.82816784765091866</v>
      </c>
      <c r="BL32" s="495">
        <v>1422</v>
      </c>
      <c r="BM32" s="499">
        <f t="shared" si="9"/>
        <v>0.74115423044267548</v>
      </c>
      <c r="BN32" s="444">
        <v>1388</v>
      </c>
      <c r="BO32" s="499">
        <f t="shared" si="10"/>
        <v>0.70756905170453788</v>
      </c>
      <c r="BP32" s="446">
        <v>1406</v>
      </c>
      <c r="BQ32" s="499">
        <f t="shared" si="5"/>
        <v>0.70111749951380542</v>
      </c>
      <c r="BR32" s="446">
        <v>1349</v>
      </c>
      <c r="BS32" s="500">
        <v>6.7000000000000002E-3</v>
      </c>
      <c r="BT32" s="367"/>
      <c r="BU32" s="367"/>
      <c r="BV32" s="367"/>
      <c r="BW32" s="367"/>
      <c r="BX32" s="367"/>
      <c r="BY32" s="367"/>
      <c r="BZ32" s="367"/>
      <c r="CA32" s="446"/>
    </row>
    <row r="33" spans="1:91" ht="15.75" hidden="1">
      <c r="B33" s="468"/>
      <c r="C33" s="446"/>
      <c r="D33" s="502"/>
      <c r="E33" s="502"/>
      <c r="F33" s="370"/>
      <c r="G33" s="502"/>
      <c r="H33" s="368"/>
      <c r="I33" s="368"/>
      <c r="J33" s="368"/>
      <c r="L33" s="494"/>
      <c r="P33" s="495"/>
      <c r="R33" s="495"/>
      <c r="T33" s="495"/>
      <c r="U33" s="495"/>
      <c r="V33" s="495"/>
      <c r="W33" s="495"/>
      <c r="X33" s="495"/>
      <c r="Y33" s="495"/>
      <c r="Z33" s="468"/>
      <c r="AB33" s="468"/>
      <c r="AC33" s="369"/>
      <c r="AD33" s="369"/>
      <c r="AE33" s="369"/>
      <c r="AF33" s="369"/>
      <c r="AI33" s="495"/>
      <c r="AJ33" s="495"/>
      <c r="AK33" s="495"/>
      <c r="AL33" s="495"/>
      <c r="AM33" s="495"/>
      <c r="AN33" s="495"/>
      <c r="AO33" s="495"/>
      <c r="AP33" s="495"/>
      <c r="AQ33" s="496"/>
      <c r="AS33" s="468"/>
      <c r="AU33" s="477"/>
      <c r="AV33" s="444"/>
      <c r="AW33" s="477"/>
      <c r="AX33" s="479"/>
      <c r="AY33" s="477"/>
      <c r="AZ33" s="504"/>
      <c r="BA33" s="363"/>
      <c r="BB33" s="489"/>
      <c r="BC33" s="475"/>
      <c r="BD33" s="489"/>
      <c r="BE33" s="490"/>
      <c r="BF33" s="489"/>
      <c r="BG33" s="477"/>
      <c r="BH33" s="454"/>
      <c r="BI33" s="499"/>
      <c r="BJ33" s="446"/>
      <c r="BK33" s="499"/>
      <c r="BL33" s="495"/>
      <c r="BM33" s="499"/>
      <c r="BN33" s="446"/>
      <c r="BO33" s="499"/>
      <c r="BP33" s="446"/>
      <c r="BQ33" s="499"/>
      <c r="BR33" s="446"/>
      <c r="BS33" s="500"/>
      <c r="BT33" s="367"/>
      <c r="BU33" s="367"/>
      <c r="BV33" s="367"/>
      <c r="BW33" s="446"/>
      <c r="BX33" s="446"/>
      <c r="BY33" s="446"/>
      <c r="BZ33" s="446"/>
      <c r="CA33" s="446"/>
    </row>
    <row r="34" spans="1:91" ht="16.149999999999999" hidden="1" customHeight="1">
      <c r="A34" s="480" t="s">
        <v>317</v>
      </c>
      <c r="B34" s="468"/>
      <c r="C34" s="446"/>
      <c r="D34" s="365">
        <v>338</v>
      </c>
      <c r="E34" s="365"/>
      <c r="F34" s="365">
        <v>325</v>
      </c>
      <c r="G34" s="365"/>
      <c r="H34" s="482">
        <v>311</v>
      </c>
      <c r="I34" s="482"/>
      <c r="J34" s="365">
        <v>302</v>
      </c>
      <c r="L34" s="483">
        <v>307</v>
      </c>
      <c r="N34" s="483">
        <v>310</v>
      </c>
      <c r="P34" s="484">
        <v>285</v>
      </c>
      <c r="Q34" s="483"/>
      <c r="R34" s="484">
        <v>283</v>
      </c>
      <c r="S34" s="483"/>
      <c r="T34" s="484">
        <v>291</v>
      </c>
      <c r="U34" s="484">
        <v>296</v>
      </c>
      <c r="V34" s="484">
        <v>291</v>
      </c>
      <c r="W34" s="484">
        <v>290</v>
      </c>
      <c r="X34" s="484">
        <v>292</v>
      </c>
      <c r="Y34" s="484">
        <v>300</v>
      </c>
      <c r="Z34" s="468"/>
      <c r="AA34" s="480">
        <v>290</v>
      </c>
      <c r="AB34" s="468">
        <v>292</v>
      </c>
      <c r="AC34" s="364">
        <v>13887.573964497042</v>
      </c>
      <c r="AD34" s="364">
        <v>13932.307692307691</v>
      </c>
      <c r="AE34" s="364">
        <v>14218.649517684888</v>
      </c>
      <c r="AF34" s="364">
        <v>14758.278145695363</v>
      </c>
      <c r="AG34" s="365">
        <v>15153.094462540716</v>
      </c>
      <c r="AH34" s="455">
        <v>15983.870967741936</v>
      </c>
      <c r="AI34" s="484">
        <v>18449.122807017546</v>
      </c>
      <c r="AJ34" s="484">
        <v>18893.992932862191</v>
      </c>
      <c r="AK34" s="484">
        <v>19628.865979381444</v>
      </c>
      <c r="AL34" s="484">
        <v>20152.027027027027</v>
      </c>
      <c r="AM34" s="484">
        <v>20261.168384879726</v>
      </c>
      <c r="AN34" s="484">
        <v>20606.896551724138</v>
      </c>
      <c r="AO34" s="484">
        <v>21346</v>
      </c>
      <c r="AP34" s="484">
        <v>21540</v>
      </c>
      <c r="AQ34" s="485"/>
      <c r="AR34" s="480" t="s">
        <v>317</v>
      </c>
      <c r="AS34" s="481"/>
      <c r="AT34" s="455">
        <v>4694</v>
      </c>
      <c r="AU34" s="486">
        <v>3.0226927336887925</v>
      </c>
      <c r="AV34" s="455">
        <v>4528</v>
      </c>
      <c r="AW34" s="486">
        <v>2.9401451891484749</v>
      </c>
      <c r="AX34" s="487">
        <v>4422</v>
      </c>
      <c r="AY34" s="486">
        <v>2.832962822968653</v>
      </c>
      <c r="AZ34" s="488">
        <v>4457</v>
      </c>
      <c r="BA34" s="366">
        <v>2.8341239460263763</v>
      </c>
      <c r="BB34" s="489">
        <v>4652</v>
      </c>
      <c r="BC34" s="490">
        <v>2.8612021723486829</v>
      </c>
      <c r="BD34" s="489">
        <v>4955</v>
      </c>
      <c r="BE34" s="490">
        <v>2.9600998847024664</v>
      </c>
      <c r="BF34" s="489">
        <v>5258</v>
      </c>
      <c r="BG34" s="486">
        <f>+(BF34/$BF$79)*100</f>
        <v>2.9717849983072466</v>
      </c>
      <c r="BH34" s="454">
        <v>5712</v>
      </c>
      <c r="BI34" s="486">
        <f>+(BH34/$BH$79)*100</f>
        <v>3.0065958776159674</v>
      </c>
      <c r="BJ34" s="491">
        <v>5965</v>
      </c>
      <c r="BK34" s="486">
        <f>+(BJ34/$BJ$79)*100</f>
        <v>3.1505237316567158</v>
      </c>
      <c r="BL34" s="484">
        <v>5896</v>
      </c>
      <c r="BM34" s="486">
        <f>+(BL34/$BL$79)*100</f>
        <v>3.073027667151909</v>
      </c>
      <c r="BN34" s="491">
        <v>5976</v>
      </c>
      <c r="BO34" s="486">
        <f>+(BN34/$BN$79)*100</f>
        <v>3.0464212197307772</v>
      </c>
      <c r="BP34" s="454">
        <v>6233</v>
      </c>
      <c r="BQ34" s="486">
        <f t="shared" si="5"/>
        <v>3.1081546048858812</v>
      </c>
      <c r="BR34" s="454">
        <v>6462</v>
      </c>
      <c r="BS34" s="492">
        <v>3.2099999999999997E-2</v>
      </c>
      <c r="BT34" s="367"/>
      <c r="BU34" s="367"/>
      <c r="BV34" s="367"/>
      <c r="BW34" s="367"/>
      <c r="BX34" s="367"/>
      <c r="BY34" s="454"/>
      <c r="BZ34" s="367"/>
      <c r="CA34" s="454"/>
      <c r="CB34" s="455"/>
      <c r="CC34" s="455"/>
      <c r="CD34" s="455"/>
      <c r="CE34" s="455"/>
      <c r="CF34" s="455"/>
      <c r="CG34" s="455"/>
      <c r="CH34" s="455"/>
      <c r="CI34" s="455"/>
      <c r="CJ34" s="455"/>
      <c r="CK34" s="455"/>
      <c r="CL34" s="455"/>
      <c r="CM34" s="455"/>
    </row>
    <row r="35" spans="1:91" ht="15.75" hidden="1">
      <c r="B35" s="378" t="s">
        <v>318</v>
      </c>
      <c r="C35" s="379"/>
      <c r="D35" s="370">
        <v>64</v>
      </c>
      <c r="E35" s="370"/>
      <c r="F35" s="370">
        <v>62</v>
      </c>
      <c r="G35" s="370"/>
      <c r="H35" s="368">
        <v>56</v>
      </c>
      <c r="I35" s="368"/>
      <c r="J35" s="368">
        <v>51</v>
      </c>
      <c r="L35" s="494">
        <v>49</v>
      </c>
      <c r="N35" s="444">
        <v>48</v>
      </c>
      <c r="P35" s="495">
        <v>33</v>
      </c>
      <c r="R35" s="495">
        <v>29</v>
      </c>
      <c r="T35" s="495">
        <v>26</v>
      </c>
      <c r="U35" s="495">
        <v>23</v>
      </c>
      <c r="V35" s="495">
        <v>21</v>
      </c>
      <c r="W35" s="495">
        <v>19</v>
      </c>
      <c r="X35" s="495">
        <v>18</v>
      </c>
      <c r="Y35" s="495">
        <v>18</v>
      </c>
      <c r="Z35" s="468"/>
      <c r="AA35" s="444">
        <v>19</v>
      </c>
      <c r="AB35" s="378">
        <v>18</v>
      </c>
      <c r="AC35" s="369">
        <v>13094</v>
      </c>
      <c r="AD35" s="369">
        <v>12967.741935483869</v>
      </c>
      <c r="AE35" s="369">
        <v>12732</v>
      </c>
      <c r="AF35" s="369">
        <v>13843</v>
      </c>
      <c r="AG35" s="444">
        <v>14061</v>
      </c>
      <c r="AH35" s="444">
        <v>14292</v>
      </c>
      <c r="AI35" s="495">
        <v>14181.818181818182</v>
      </c>
      <c r="AJ35" s="495">
        <v>15310.344827586207</v>
      </c>
      <c r="AK35" s="495">
        <v>16076.923076923076</v>
      </c>
      <c r="AL35" s="495">
        <v>16739.130434782608</v>
      </c>
      <c r="AM35" s="495">
        <v>17809.523809523809</v>
      </c>
      <c r="AN35" s="495">
        <v>18157.894736842107</v>
      </c>
      <c r="AO35" s="495">
        <v>19278</v>
      </c>
      <c r="AP35" s="495">
        <v>19000</v>
      </c>
      <c r="AQ35" s="496"/>
      <c r="AS35" s="378" t="s">
        <v>318</v>
      </c>
      <c r="AT35" s="444">
        <v>838</v>
      </c>
      <c r="AU35" s="477">
        <v>0.5396285706926307</v>
      </c>
      <c r="AV35" s="444">
        <v>804</v>
      </c>
      <c r="AW35" s="477">
        <v>0.52205758217212317</v>
      </c>
      <c r="AX35" s="479">
        <v>713</v>
      </c>
      <c r="AY35" s="477">
        <v>0.45678482423714373</v>
      </c>
      <c r="AZ35" s="502">
        <v>706</v>
      </c>
      <c r="BA35" s="363">
        <v>0.44893235492363065</v>
      </c>
      <c r="BB35" s="497">
        <v>689</v>
      </c>
      <c r="BC35" s="475">
        <v>0.42376790557786814</v>
      </c>
      <c r="BD35" s="497">
        <v>686</v>
      </c>
      <c r="BE35" s="498">
        <v>0.40981403045527592</v>
      </c>
      <c r="BF35" s="497">
        <v>468</v>
      </c>
      <c r="BG35" s="499">
        <f>+(BF35/$BF$79)*100</f>
        <v>0.2645103421848215</v>
      </c>
      <c r="BH35" s="446">
        <v>418</v>
      </c>
      <c r="BI35" s="499">
        <f>+(BH35/$BH$79)*100</f>
        <v>0.22002049664626655</v>
      </c>
      <c r="BJ35" s="444">
        <v>385</v>
      </c>
      <c r="BK35" s="499">
        <f>+(BJ35/$BJ$79)*100</f>
        <v>0.20334478402143094</v>
      </c>
      <c r="BL35" s="495">
        <v>374</v>
      </c>
      <c r="BM35" s="499">
        <f>+(BL35/$BL$79)*100</f>
        <v>0.19493085948351663</v>
      </c>
      <c r="BN35" s="444">
        <v>345</v>
      </c>
      <c r="BO35" s="499">
        <f>+(BN35/$BN$79)*100</f>
        <v>0.17587271097843341</v>
      </c>
      <c r="BP35" s="446">
        <v>347</v>
      </c>
      <c r="BQ35" s="499">
        <f t="shared" si="5"/>
        <v>0.17303539995113121</v>
      </c>
      <c r="BR35" s="446">
        <v>342</v>
      </c>
      <c r="BS35" s="500">
        <v>1.6999999999999999E-3</v>
      </c>
      <c r="BT35" s="367"/>
      <c r="BU35" s="367"/>
      <c r="BV35" s="367"/>
      <c r="BW35" s="367"/>
      <c r="BX35" s="367"/>
      <c r="BY35" s="367"/>
      <c r="BZ35" s="367"/>
      <c r="CA35" s="446"/>
    </row>
    <row r="36" spans="1:91" ht="15.75" hidden="1">
      <c r="B36" s="378" t="s">
        <v>319</v>
      </c>
      <c r="C36" s="379"/>
      <c r="D36" s="370">
        <v>118</v>
      </c>
      <c r="E36" s="370"/>
      <c r="F36" s="370">
        <v>112</v>
      </c>
      <c r="G36" s="370"/>
      <c r="H36" s="368">
        <v>105</v>
      </c>
      <c r="I36" s="368"/>
      <c r="J36" s="368">
        <v>99</v>
      </c>
      <c r="L36" s="494">
        <v>98</v>
      </c>
      <c r="N36" s="444">
        <v>95</v>
      </c>
      <c r="P36" s="495">
        <v>81</v>
      </c>
      <c r="R36" s="495">
        <v>85</v>
      </c>
      <c r="T36" s="495">
        <v>90</v>
      </c>
      <c r="U36" s="495">
        <v>94</v>
      </c>
      <c r="V36" s="495">
        <v>92</v>
      </c>
      <c r="W36" s="495">
        <v>91</v>
      </c>
      <c r="X36" s="495">
        <v>92</v>
      </c>
      <c r="Y36" s="495">
        <v>94</v>
      </c>
      <c r="Z36" s="468"/>
      <c r="AA36" s="444">
        <v>91</v>
      </c>
      <c r="AB36" s="378">
        <v>92</v>
      </c>
      <c r="AC36" s="369">
        <v>13398</v>
      </c>
      <c r="AD36" s="369">
        <v>13160.714285714286</v>
      </c>
      <c r="AE36" s="369">
        <v>13180.95238095238</v>
      </c>
      <c r="AF36" s="369">
        <v>14000</v>
      </c>
      <c r="AG36" s="444">
        <v>14480</v>
      </c>
      <c r="AH36" s="444">
        <v>15516</v>
      </c>
      <c r="AI36" s="495">
        <v>17740.740740740741</v>
      </c>
      <c r="AJ36" s="495">
        <v>19305.882352941175</v>
      </c>
      <c r="AK36" s="495">
        <v>19955.555555555555</v>
      </c>
      <c r="AL36" s="495">
        <v>20127.659574468085</v>
      </c>
      <c r="AM36" s="495">
        <v>20402.173913043476</v>
      </c>
      <c r="AN36" s="495">
        <v>20582.417582417584</v>
      </c>
      <c r="AO36" s="495">
        <v>21391</v>
      </c>
      <c r="AP36" s="495">
        <v>21521</v>
      </c>
      <c r="AQ36" s="496"/>
      <c r="AS36" s="378" t="s">
        <v>319</v>
      </c>
      <c r="AT36" s="444">
        <v>1581</v>
      </c>
      <c r="AU36" s="477">
        <v>1.0180820647554285</v>
      </c>
      <c r="AV36" s="444">
        <v>1474</v>
      </c>
      <c r="AW36" s="477">
        <v>0.95710556731555918</v>
      </c>
      <c r="AX36" s="479">
        <v>1384</v>
      </c>
      <c r="AY36" s="477">
        <v>0.8866622675234318</v>
      </c>
      <c r="AZ36" s="502">
        <v>1386</v>
      </c>
      <c r="BA36" s="363">
        <v>0.88133179026083863</v>
      </c>
      <c r="BB36" s="497">
        <v>1419</v>
      </c>
      <c r="BC36" s="475">
        <v>0.87275276925253242</v>
      </c>
      <c r="BD36" s="497">
        <v>1474</v>
      </c>
      <c r="BE36" s="498">
        <v>0.88056250858757534</v>
      </c>
      <c r="BF36" s="497">
        <v>1437</v>
      </c>
      <c r="BG36" s="499">
        <f>+(BF36/$BF$79)*100</f>
        <v>0.81218239683672755</v>
      </c>
      <c r="BH36" s="446">
        <v>1796</v>
      </c>
      <c r="BI36" s="499">
        <f>+(BH36/$BH$79)*100</f>
        <v>0.94535122482462852</v>
      </c>
      <c r="BJ36" s="444">
        <v>1892</v>
      </c>
      <c r="BK36" s="499">
        <f>+(BJ36/$BJ$79)*100</f>
        <v>0.99929436719103215</v>
      </c>
      <c r="BL36" s="495">
        <v>1877</v>
      </c>
      <c r="BM36" s="499">
        <f>+(BL36/$BL$79)*100</f>
        <v>0.97830273596406603</v>
      </c>
      <c r="BN36" s="444">
        <v>1873</v>
      </c>
      <c r="BO36" s="499">
        <f>+(BN36/$BN$79)*100</f>
        <v>0.95481039902204579</v>
      </c>
      <c r="BP36" s="446">
        <v>1968</v>
      </c>
      <c r="BQ36" s="499">
        <f t="shared" si="5"/>
        <v>0.98136503488134363</v>
      </c>
      <c r="BR36" s="446">
        <v>2023</v>
      </c>
      <c r="BS36" s="500">
        <v>1.01E-2</v>
      </c>
      <c r="BT36" s="367"/>
      <c r="BU36" s="367"/>
      <c r="BV36" s="367"/>
      <c r="BW36" s="367"/>
      <c r="BX36" s="367"/>
      <c r="BY36" s="367"/>
      <c r="BZ36" s="367"/>
      <c r="CA36" s="446"/>
    </row>
    <row r="37" spans="1:91" ht="15.75" hidden="1">
      <c r="B37" s="378" t="s">
        <v>320</v>
      </c>
      <c r="C37" s="379"/>
      <c r="D37" s="370">
        <v>74</v>
      </c>
      <c r="E37" s="370"/>
      <c r="F37" s="370">
        <v>69</v>
      </c>
      <c r="G37" s="370"/>
      <c r="H37" s="368">
        <v>69</v>
      </c>
      <c r="I37" s="368"/>
      <c r="J37" s="368">
        <v>70</v>
      </c>
      <c r="L37" s="494">
        <v>74</v>
      </c>
      <c r="N37" s="444">
        <v>76</v>
      </c>
      <c r="P37" s="495">
        <v>60</v>
      </c>
      <c r="R37" s="495">
        <v>59</v>
      </c>
      <c r="T37" s="495">
        <v>58</v>
      </c>
      <c r="U37" s="495">
        <v>61</v>
      </c>
      <c r="V37" s="495">
        <v>59</v>
      </c>
      <c r="W37" s="495">
        <v>57</v>
      </c>
      <c r="X37" s="495">
        <v>56</v>
      </c>
      <c r="Y37" s="495">
        <v>54</v>
      </c>
      <c r="Z37" s="468"/>
      <c r="AA37" s="444">
        <v>57</v>
      </c>
      <c r="AB37" s="378">
        <v>56</v>
      </c>
      <c r="AC37" s="369">
        <v>14797</v>
      </c>
      <c r="AD37" s="369">
        <v>15217.391304347826</v>
      </c>
      <c r="AE37" s="369">
        <v>15072.463768115942</v>
      </c>
      <c r="AF37" s="369">
        <v>15000</v>
      </c>
      <c r="AG37" s="444">
        <v>15392</v>
      </c>
      <c r="AH37" s="444">
        <v>16513</v>
      </c>
      <c r="AI37" s="495">
        <v>17950</v>
      </c>
      <c r="AJ37" s="495">
        <v>18220.338983050849</v>
      </c>
      <c r="AK37" s="495">
        <v>18672.413793103449</v>
      </c>
      <c r="AL37" s="495">
        <v>19672.131147540986</v>
      </c>
      <c r="AM37" s="495">
        <v>19661.016949152545</v>
      </c>
      <c r="AN37" s="495">
        <v>20578.94736842105</v>
      </c>
      <c r="AO37" s="495">
        <v>21179</v>
      </c>
      <c r="AP37" s="495">
        <v>21574</v>
      </c>
      <c r="AQ37" s="496"/>
      <c r="AS37" s="378" t="s">
        <v>320</v>
      </c>
      <c r="AT37" s="444">
        <v>1095</v>
      </c>
      <c r="AU37" s="477">
        <v>0.70512325168070478</v>
      </c>
      <c r="AV37" s="444">
        <v>1050</v>
      </c>
      <c r="AW37" s="477">
        <v>0.68179161850836978</v>
      </c>
      <c r="AX37" s="479">
        <v>1040</v>
      </c>
      <c r="AY37" s="477">
        <v>0.66627800449737651</v>
      </c>
      <c r="AZ37" s="502">
        <v>1050</v>
      </c>
      <c r="BA37" s="363">
        <v>0.66767559868245352</v>
      </c>
      <c r="BB37" s="497">
        <v>1139</v>
      </c>
      <c r="BC37" s="475">
        <v>0.70053939688416811</v>
      </c>
      <c r="BD37" s="497">
        <v>1255</v>
      </c>
      <c r="BE37" s="498">
        <v>0.74973266504573066</v>
      </c>
      <c r="BF37" s="497">
        <v>1077</v>
      </c>
      <c r="BG37" s="499">
        <f>+(BF37/$BF$79)*100</f>
        <v>0.60871290284840329</v>
      </c>
      <c r="BH37" s="446">
        <v>1083</v>
      </c>
      <c r="BI37" s="499">
        <f>+(BH37/$BH$79)*100</f>
        <v>0.57005310494714512</v>
      </c>
      <c r="BJ37" s="444">
        <v>1200</v>
      </c>
      <c r="BK37" s="499">
        <f>+(BJ37/$BJ$79)*100</f>
        <v>0.63380192422264192</v>
      </c>
      <c r="BL37" s="495">
        <v>1160</v>
      </c>
      <c r="BM37" s="499">
        <f>+(BL37/$BL$79)*100</f>
        <v>0.60459838770288576</v>
      </c>
      <c r="BN37" s="444">
        <v>1173</v>
      </c>
      <c r="BO37" s="499">
        <f>+(BN37/$BN$79)*100</f>
        <v>0.59796721732667357</v>
      </c>
      <c r="BP37" s="446">
        <v>1186</v>
      </c>
      <c r="BQ37" s="499">
        <f t="shared" si="5"/>
        <v>0.59141205862259827</v>
      </c>
      <c r="BR37" s="446">
        <v>1165</v>
      </c>
      <c r="BS37" s="500">
        <v>5.7999999999999996E-3</v>
      </c>
      <c r="BT37" s="367"/>
      <c r="BU37" s="367"/>
      <c r="BV37" s="367"/>
      <c r="BW37" s="367"/>
      <c r="BX37" s="367"/>
      <c r="BY37" s="367"/>
      <c r="BZ37" s="367"/>
      <c r="CA37" s="446"/>
    </row>
    <row r="38" spans="1:91" ht="15.75" hidden="1">
      <c r="B38" s="378" t="s">
        <v>321</v>
      </c>
      <c r="C38" s="379"/>
      <c r="D38" s="370">
        <v>82</v>
      </c>
      <c r="E38" s="370"/>
      <c r="F38" s="370">
        <v>82</v>
      </c>
      <c r="G38" s="370"/>
      <c r="H38" s="368">
        <v>81</v>
      </c>
      <c r="I38" s="368"/>
      <c r="J38" s="368">
        <v>82</v>
      </c>
      <c r="L38" s="494">
        <v>86</v>
      </c>
      <c r="N38" s="444">
        <v>91</v>
      </c>
      <c r="P38" s="495">
        <v>111</v>
      </c>
      <c r="R38" s="495">
        <v>110</v>
      </c>
      <c r="T38" s="495">
        <v>117</v>
      </c>
      <c r="U38" s="495">
        <v>118</v>
      </c>
      <c r="V38" s="495">
        <v>119</v>
      </c>
      <c r="W38" s="495">
        <v>123</v>
      </c>
      <c r="X38" s="495">
        <v>126</v>
      </c>
      <c r="Y38" s="495">
        <v>134</v>
      </c>
      <c r="Z38" s="468"/>
      <c r="AA38" s="444">
        <v>123</v>
      </c>
      <c r="AB38" s="378">
        <v>126</v>
      </c>
      <c r="AC38" s="369">
        <v>14390</v>
      </c>
      <c r="AD38" s="369">
        <v>14634.146341463415</v>
      </c>
      <c r="AE38" s="369">
        <v>15864</v>
      </c>
      <c r="AF38" s="369">
        <v>16037</v>
      </c>
      <c r="AG38" s="444">
        <v>16337</v>
      </c>
      <c r="AH38" s="444">
        <v>16923</v>
      </c>
      <c r="AI38" s="495">
        <v>20504.504504504504</v>
      </c>
      <c r="AJ38" s="495">
        <v>19881.818181818184</v>
      </c>
      <c r="AK38" s="495">
        <v>20641.025641025641</v>
      </c>
      <c r="AL38" s="495">
        <v>21084.745762711864</v>
      </c>
      <c r="AM38" s="495">
        <v>20882.352941176472</v>
      </c>
      <c r="AN38" s="495">
        <v>21016.260162601626</v>
      </c>
      <c r="AO38" s="495">
        <v>21683</v>
      </c>
      <c r="AP38" s="495">
        <v>21881</v>
      </c>
      <c r="AQ38" s="496"/>
      <c r="AS38" s="378" t="s">
        <v>321</v>
      </c>
      <c r="AT38" s="444">
        <v>1180</v>
      </c>
      <c r="AU38" s="477">
        <v>0.75985884656002889</v>
      </c>
      <c r="AV38" s="444">
        <v>1200</v>
      </c>
      <c r="AW38" s="477">
        <v>0.77919042115242265</v>
      </c>
      <c r="AX38" s="479">
        <v>1285</v>
      </c>
      <c r="AY38" s="477">
        <v>0.82323772671070083</v>
      </c>
      <c r="AZ38" s="502">
        <v>1315</v>
      </c>
      <c r="BA38" s="363">
        <v>0.83618420215945366</v>
      </c>
      <c r="BB38" s="497">
        <v>1405</v>
      </c>
      <c r="BC38" s="475">
        <v>0.86414210063411423</v>
      </c>
      <c r="BD38" s="497">
        <v>1540</v>
      </c>
      <c r="BE38" s="498">
        <v>0.91999068061388467</v>
      </c>
      <c r="BF38" s="497">
        <v>2276</v>
      </c>
      <c r="BG38" s="499">
        <f>+(BF38/$BF$79)*100</f>
        <v>1.2863793564372943</v>
      </c>
      <c r="BH38" s="446">
        <v>2415</v>
      </c>
      <c r="BI38" s="499">
        <f>+(BH38/$BH$79)*100</f>
        <v>1.2711710511979275</v>
      </c>
      <c r="BJ38" s="444">
        <v>2488</v>
      </c>
      <c r="BK38" s="499">
        <f>+(BJ38/$BJ$79)*100</f>
        <v>1.3140826562216108</v>
      </c>
      <c r="BL38" s="495">
        <v>2485</v>
      </c>
      <c r="BM38" s="499">
        <f>+(BL38/$BL$79)*100</f>
        <v>1.2951956840014405</v>
      </c>
      <c r="BN38" s="444">
        <v>2585</v>
      </c>
      <c r="BO38" s="499">
        <f>+(BN38/$BN$79)*100</f>
        <v>1.3177708924036242</v>
      </c>
      <c r="BP38" s="446">
        <v>2732</v>
      </c>
      <c r="BQ38" s="499">
        <f t="shared" si="5"/>
        <v>1.3623421114308083</v>
      </c>
      <c r="BR38" s="446">
        <v>2932</v>
      </c>
      <c r="BS38" s="500">
        <v>1.46E-2</v>
      </c>
      <c r="BT38" s="367"/>
      <c r="BU38" s="367"/>
      <c r="BV38" s="367"/>
      <c r="BW38" s="367"/>
      <c r="BX38" s="367"/>
      <c r="BY38" s="367"/>
      <c r="BZ38" s="367"/>
      <c r="CA38" s="446"/>
    </row>
    <row r="39" spans="1:91" ht="15.75" hidden="1">
      <c r="B39" s="506"/>
      <c r="C39" s="496"/>
      <c r="D39" s="502"/>
      <c r="E39" s="502"/>
      <c r="F39" s="370"/>
      <c r="G39" s="502"/>
      <c r="H39" s="368"/>
      <c r="I39" s="368"/>
      <c r="J39" s="368"/>
      <c r="L39" s="494"/>
      <c r="P39" s="495"/>
      <c r="R39" s="495"/>
      <c r="T39" s="495"/>
      <c r="U39" s="495"/>
      <c r="V39" s="495"/>
      <c r="W39" s="495"/>
      <c r="X39" s="495"/>
      <c r="Y39" s="495"/>
      <c r="Z39" s="468"/>
      <c r="AB39" s="506"/>
      <c r="AC39" s="369"/>
      <c r="AD39" s="369"/>
      <c r="AE39" s="369"/>
      <c r="AF39" s="369"/>
      <c r="AI39" s="495"/>
      <c r="AJ39" s="495"/>
      <c r="AK39" s="495"/>
      <c r="AL39" s="495"/>
      <c r="AM39" s="495"/>
      <c r="AN39" s="495"/>
      <c r="AO39" s="495"/>
      <c r="AP39" s="495"/>
      <c r="AQ39" s="496"/>
      <c r="AS39" s="506"/>
      <c r="AU39" s="477"/>
      <c r="AV39" s="444"/>
      <c r="AW39" s="477"/>
      <c r="AX39" s="479"/>
      <c r="AY39" s="477"/>
      <c r="AZ39" s="368"/>
      <c r="BA39" s="363"/>
      <c r="BB39" s="489"/>
      <c r="BC39" s="475"/>
      <c r="BD39" s="489"/>
      <c r="BE39" s="490"/>
      <c r="BF39" s="489"/>
      <c r="BG39" s="477"/>
      <c r="BH39" s="454"/>
      <c r="BI39" s="499"/>
      <c r="BJ39" s="446"/>
      <c r="BK39" s="499"/>
      <c r="BL39" s="495"/>
      <c r="BM39" s="499"/>
      <c r="BN39" s="446"/>
      <c r="BO39" s="499"/>
      <c r="BP39" s="446"/>
      <c r="BQ39" s="499"/>
      <c r="BR39" s="446"/>
      <c r="BS39" s="500"/>
      <c r="BT39" s="367"/>
      <c r="BU39" s="367"/>
      <c r="BV39" s="367"/>
      <c r="BW39" s="367"/>
      <c r="BX39" s="446"/>
      <c r="BY39" s="446"/>
      <c r="BZ39" s="446"/>
      <c r="CA39" s="446"/>
    </row>
    <row r="40" spans="1:91" ht="16.149999999999999" hidden="1" customHeight="1">
      <c r="A40" s="480" t="s">
        <v>322</v>
      </c>
      <c r="B40" s="468"/>
      <c r="C40" s="446"/>
      <c r="D40" s="365">
        <v>525</v>
      </c>
      <c r="E40" s="365"/>
      <c r="F40" s="365">
        <v>498</v>
      </c>
      <c r="G40" s="365"/>
      <c r="H40" s="482">
        <v>483</v>
      </c>
      <c r="I40" s="482"/>
      <c r="J40" s="365">
        <v>462</v>
      </c>
      <c r="L40" s="483">
        <v>442</v>
      </c>
      <c r="N40" s="483">
        <v>435</v>
      </c>
      <c r="P40" s="484">
        <v>348</v>
      </c>
      <c r="Q40" s="483"/>
      <c r="R40" s="484">
        <v>314</v>
      </c>
      <c r="S40" s="483"/>
      <c r="T40" s="484">
        <v>306</v>
      </c>
      <c r="U40" s="484">
        <v>292</v>
      </c>
      <c r="V40" s="484">
        <v>279</v>
      </c>
      <c r="W40" s="484">
        <v>277</v>
      </c>
      <c r="X40" s="484">
        <v>276</v>
      </c>
      <c r="Y40" s="484">
        <v>270</v>
      </c>
      <c r="Z40" s="468"/>
      <c r="AA40" s="480">
        <v>277</v>
      </c>
      <c r="AB40" s="468">
        <v>276</v>
      </c>
      <c r="AC40" s="364">
        <v>14064.761904761905</v>
      </c>
      <c r="AD40" s="364">
        <v>13765.060240963856</v>
      </c>
      <c r="AE40" s="364">
        <v>14186.335403726709</v>
      </c>
      <c r="AF40" s="364">
        <v>14244.588744588744</v>
      </c>
      <c r="AG40" s="365">
        <v>14552.036199095022</v>
      </c>
      <c r="AH40" s="455">
        <v>14836.781609195403</v>
      </c>
      <c r="AI40" s="484">
        <v>15686.781609195401</v>
      </c>
      <c r="AJ40" s="484">
        <v>16299.363057324839</v>
      </c>
      <c r="AK40" s="484">
        <v>16199.34640522876</v>
      </c>
      <c r="AL40" s="484">
        <v>16722.60273972603</v>
      </c>
      <c r="AM40" s="484">
        <v>16881.720430107529</v>
      </c>
      <c r="AN40" s="484">
        <v>16891.696750902527</v>
      </c>
      <c r="AO40" s="484">
        <v>17210</v>
      </c>
      <c r="AP40" s="484">
        <v>17304</v>
      </c>
      <c r="AQ40" s="485"/>
      <c r="AR40" s="480" t="s">
        <v>322</v>
      </c>
      <c r="AS40" s="481"/>
      <c r="AT40" s="455">
        <v>7384</v>
      </c>
      <c r="AU40" s="486">
        <v>4.7549133245756385</v>
      </c>
      <c r="AV40" s="455">
        <v>6855</v>
      </c>
      <c r="AW40" s="486">
        <v>4.4511252808332147</v>
      </c>
      <c r="AX40" s="487">
        <v>6852</v>
      </c>
      <c r="AY40" s="486">
        <v>4.3897470065538693</v>
      </c>
      <c r="AZ40" s="488">
        <v>6581</v>
      </c>
      <c r="BA40" s="366">
        <v>4.184736299932597</v>
      </c>
      <c r="BB40" s="489">
        <v>6432</v>
      </c>
      <c r="BC40" s="490">
        <v>3.9559871824047139</v>
      </c>
      <c r="BD40" s="489">
        <v>6454</v>
      </c>
      <c r="BE40" s="490">
        <v>3.8555973069363714</v>
      </c>
      <c r="BF40" s="489">
        <v>5459</v>
      </c>
      <c r="BG40" s="486">
        <f t="shared" ref="BG40:BG45" si="11">+(BF40/$BF$79)*100</f>
        <v>3.0853887991173945</v>
      </c>
      <c r="BH40" s="454">
        <v>4957</v>
      </c>
      <c r="BI40" s="486">
        <f t="shared" ref="BI40:BI45" si="12">+(BH40/$BH$79)*100</f>
        <v>2.609190435108955</v>
      </c>
      <c r="BJ40" s="491">
        <v>4883</v>
      </c>
      <c r="BK40" s="486">
        <f t="shared" ref="BK40:BK45" si="13">+(BJ40/$BJ$79)*100</f>
        <v>2.5790456633159669</v>
      </c>
      <c r="BL40" s="484">
        <v>4710</v>
      </c>
      <c r="BM40" s="486">
        <f t="shared" ref="BM40:BM45" si="14">+(BL40/$BL$79)*100</f>
        <v>2.4548779362763726</v>
      </c>
      <c r="BN40" s="491">
        <v>4679</v>
      </c>
      <c r="BO40" s="486">
        <f t="shared" ref="BO40:BO45" si="15">+(BN40/$BN$79)*100</f>
        <v>2.3852417816466374</v>
      </c>
      <c r="BP40" s="454">
        <v>4750</v>
      </c>
      <c r="BQ40" s="486">
        <f t="shared" si="5"/>
        <v>2.3686402010601535</v>
      </c>
      <c r="BR40" s="454">
        <v>4672</v>
      </c>
      <c r="BS40" s="492">
        <v>2.3199999999999998E-2</v>
      </c>
      <c r="BT40" s="367"/>
      <c r="BU40" s="367"/>
      <c r="BV40" s="367"/>
      <c r="BW40" s="367"/>
      <c r="BX40" s="367"/>
      <c r="BY40" s="454"/>
      <c r="BZ40" s="367"/>
      <c r="CA40" s="454"/>
      <c r="CB40" s="455"/>
      <c r="CC40" s="455"/>
      <c r="CD40" s="455"/>
      <c r="CE40" s="455"/>
      <c r="CF40" s="455"/>
      <c r="CG40" s="455"/>
      <c r="CH40" s="455"/>
      <c r="CI40" s="455"/>
      <c r="CJ40" s="455"/>
      <c r="CK40" s="455"/>
      <c r="CL40" s="455"/>
      <c r="CM40" s="455"/>
    </row>
    <row r="41" spans="1:91" ht="15.75" hidden="1">
      <c r="B41" s="378" t="s">
        <v>323</v>
      </c>
      <c r="C41" s="379"/>
      <c r="D41" s="370">
        <v>129</v>
      </c>
      <c r="E41" s="370"/>
      <c r="F41" s="370">
        <v>126</v>
      </c>
      <c r="G41" s="370"/>
      <c r="H41" s="368">
        <v>125</v>
      </c>
      <c r="I41" s="368"/>
      <c r="J41" s="368">
        <v>124</v>
      </c>
      <c r="L41" s="494">
        <v>121</v>
      </c>
      <c r="N41" s="444">
        <v>120</v>
      </c>
      <c r="P41" s="495">
        <v>105</v>
      </c>
      <c r="R41" s="495">
        <v>100</v>
      </c>
      <c r="T41" s="495">
        <v>98</v>
      </c>
      <c r="U41" s="495">
        <v>96</v>
      </c>
      <c r="V41" s="495">
        <v>96</v>
      </c>
      <c r="W41" s="495">
        <v>96</v>
      </c>
      <c r="X41" s="495">
        <v>96</v>
      </c>
      <c r="Y41" s="495">
        <v>95</v>
      </c>
      <c r="Z41" s="468"/>
      <c r="AA41" s="444">
        <v>96</v>
      </c>
      <c r="AB41" s="378">
        <v>96</v>
      </c>
      <c r="AC41" s="369">
        <v>15116</v>
      </c>
      <c r="AD41" s="369">
        <v>14325.396825396827</v>
      </c>
      <c r="AE41" s="369">
        <v>14864</v>
      </c>
      <c r="AF41" s="369">
        <v>14847</v>
      </c>
      <c r="AG41" s="444">
        <v>15479</v>
      </c>
      <c r="AH41" s="444">
        <v>15833</v>
      </c>
      <c r="AI41" s="495">
        <v>16990.476190476191</v>
      </c>
      <c r="AJ41" s="495">
        <v>17530</v>
      </c>
      <c r="AK41" s="495">
        <v>17612.244897959183</v>
      </c>
      <c r="AL41" s="495">
        <v>18083.333333333332</v>
      </c>
      <c r="AM41" s="495">
        <v>18010.526315789473</v>
      </c>
      <c r="AN41" s="495">
        <v>17906.25</v>
      </c>
      <c r="AO41" s="495">
        <v>17990</v>
      </c>
      <c r="AP41" s="495">
        <v>18337</v>
      </c>
      <c r="AQ41" s="496"/>
      <c r="AS41" s="378" t="s">
        <v>323</v>
      </c>
      <c r="AT41" s="444">
        <v>1950</v>
      </c>
      <c r="AU41" s="477">
        <v>1.2556989413492001</v>
      </c>
      <c r="AV41" s="444">
        <v>1805</v>
      </c>
      <c r="AW41" s="477">
        <v>1.1720322584834357</v>
      </c>
      <c r="AX41" s="479">
        <v>1858</v>
      </c>
      <c r="AY41" s="477">
        <v>1.1903312811116593</v>
      </c>
      <c r="AZ41" s="368">
        <v>1841</v>
      </c>
      <c r="BA41" s="363">
        <v>1.170657883023235</v>
      </c>
      <c r="BB41" s="497">
        <v>1873</v>
      </c>
      <c r="BC41" s="475">
        <v>1.1519844515926663</v>
      </c>
      <c r="BD41" s="497">
        <v>1900</v>
      </c>
      <c r="BE41" s="498">
        <v>1.1350534371210266</v>
      </c>
      <c r="BF41" s="497">
        <v>1784</v>
      </c>
      <c r="BG41" s="499">
        <f t="shared" si="11"/>
        <v>1.0083043813199177</v>
      </c>
      <c r="BH41" s="446">
        <v>1726</v>
      </c>
      <c r="BI41" s="499">
        <f t="shared" si="12"/>
        <v>0.90850568710874657</v>
      </c>
      <c r="BJ41" s="444">
        <v>1736</v>
      </c>
      <c r="BK41" s="499">
        <f t="shared" si="13"/>
        <v>0.91690011704208874</v>
      </c>
      <c r="BL41" s="495">
        <v>1711</v>
      </c>
      <c r="BM41" s="499">
        <f t="shared" si="14"/>
        <v>0.8917826218617565</v>
      </c>
      <c r="BN41" s="444">
        <v>1719</v>
      </c>
      <c r="BO41" s="499">
        <f t="shared" si="15"/>
        <v>0.87630489904906383</v>
      </c>
      <c r="BP41" s="446">
        <v>1727</v>
      </c>
      <c r="BQ41" s="499">
        <f t="shared" si="5"/>
        <v>0.86118771099597591</v>
      </c>
      <c r="BR41" s="446">
        <v>1742</v>
      </c>
      <c r="BS41" s="500">
        <v>8.6999999999999994E-3</v>
      </c>
      <c r="BT41" s="367"/>
      <c r="BU41" s="367"/>
      <c r="BV41" s="367"/>
      <c r="BW41" s="367"/>
      <c r="BX41" s="367"/>
      <c r="BY41" s="367"/>
      <c r="BZ41" s="367"/>
      <c r="CA41" s="446"/>
    </row>
    <row r="42" spans="1:91" ht="15.75" hidden="1">
      <c r="B42" s="378" t="s">
        <v>324</v>
      </c>
      <c r="C42" s="379"/>
      <c r="D42" s="370">
        <v>21</v>
      </c>
      <c r="E42" s="370"/>
      <c r="F42" s="370">
        <v>20</v>
      </c>
      <c r="G42" s="370"/>
      <c r="H42" s="368">
        <v>18</v>
      </c>
      <c r="I42" s="368"/>
      <c r="J42" s="368">
        <v>18</v>
      </c>
      <c r="L42" s="494">
        <v>18</v>
      </c>
      <c r="N42" s="444">
        <v>17</v>
      </c>
      <c r="P42" s="495">
        <v>13</v>
      </c>
      <c r="R42" s="495">
        <v>13</v>
      </c>
      <c r="T42" s="495">
        <v>12</v>
      </c>
      <c r="U42" s="495">
        <v>11</v>
      </c>
      <c r="V42" s="495">
        <v>10</v>
      </c>
      <c r="W42" s="495">
        <v>10</v>
      </c>
      <c r="X42" s="495">
        <v>10</v>
      </c>
      <c r="Y42" s="495">
        <v>10</v>
      </c>
      <c r="Z42" s="468"/>
      <c r="AA42" s="444">
        <v>10</v>
      </c>
      <c r="AB42" s="378">
        <v>10</v>
      </c>
      <c r="AC42" s="369">
        <v>12667</v>
      </c>
      <c r="AD42" s="369">
        <v>12600</v>
      </c>
      <c r="AE42" s="369">
        <v>14777.777777777779</v>
      </c>
      <c r="AF42" s="369">
        <v>15444</v>
      </c>
      <c r="AG42" s="444">
        <v>15278</v>
      </c>
      <c r="AH42" s="444">
        <v>15588</v>
      </c>
      <c r="AI42" s="495">
        <v>14923.076923076924</v>
      </c>
      <c r="AJ42" s="495">
        <v>15000</v>
      </c>
      <c r="AK42" s="495">
        <v>15083.333333333334</v>
      </c>
      <c r="AL42" s="495">
        <v>14727.272727272726</v>
      </c>
      <c r="AM42" s="495">
        <v>15500</v>
      </c>
      <c r="AN42" s="495">
        <v>15600</v>
      </c>
      <c r="AO42" s="495">
        <v>15800</v>
      </c>
      <c r="AP42" s="495">
        <v>15200</v>
      </c>
      <c r="AQ42" s="496"/>
      <c r="AS42" s="378" t="s">
        <v>324</v>
      </c>
      <c r="AT42" s="444">
        <v>266</v>
      </c>
      <c r="AU42" s="477">
        <v>0.17129021456353194</v>
      </c>
      <c r="AV42" s="444">
        <v>252</v>
      </c>
      <c r="AW42" s="477">
        <v>0.16362998844200874</v>
      </c>
      <c r="AX42" s="479">
        <v>266</v>
      </c>
      <c r="AY42" s="477">
        <v>0.17041341268875207</v>
      </c>
      <c r="AZ42" s="368">
        <v>278</v>
      </c>
      <c r="BA42" s="363">
        <v>0.1767750632702115</v>
      </c>
      <c r="BB42" s="497">
        <v>275</v>
      </c>
      <c r="BC42" s="475">
        <v>0.16913813357607219</v>
      </c>
      <c r="BD42" s="497">
        <v>265</v>
      </c>
      <c r="BE42" s="498">
        <v>0.15831008465109056</v>
      </c>
      <c r="BF42" s="497">
        <v>194</v>
      </c>
      <c r="BG42" s="499">
        <f t="shared" si="11"/>
        <v>0.10964744953815249</v>
      </c>
      <c r="BH42" s="446">
        <v>181</v>
      </c>
      <c r="BI42" s="499">
        <f t="shared" si="12"/>
        <v>9.5272033236780476E-2</v>
      </c>
      <c r="BJ42" s="444">
        <v>162</v>
      </c>
      <c r="BK42" s="499">
        <f t="shared" si="13"/>
        <v>8.556325977005666E-2</v>
      </c>
      <c r="BL42" s="495">
        <v>155</v>
      </c>
      <c r="BM42" s="499">
        <f t="shared" si="14"/>
        <v>8.0786853529264901E-2</v>
      </c>
      <c r="BN42" s="444">
        <v>156</v>
      </c>
      <c r="BO42" s="499">
        <f t="shared" si="15"/>
        <v>7.9525051920682932E-2</v>
      </c>
      <c r="BP42" s="446">
        <v>158</v>
      </c>
      <c r="BQ42" s="499">
        <f t="shared" si="5"/>
        <v>7.8788453003685102E-2</v>
      </c>
      <c r="BR42" s="446">
        <v>152</v>
      </c>
      <c r="BS42" s="500">
        <v>8.0000000000000004E-4</v>
      </c>
      <c r="BT42" s="367"/>
      <c r="BU42" s="367"/>
      <c r="BV42" s="367"/>
      <c r="BW42" s="367"/>
      <c r="BX42" s="367"/>
      <c r="BY42" s="367"/>
      <c r="BZ42" s="367"/>
      <c r="CA42" s="446"/>
    </row>
    <row r="43" spans="1:91" ht="15.75" hidden="1">
      <c r="B43" s="378" t="s">
        <v>325</v>
      </c>
      <c r="C43" s="379"/>
      <c r="D43" s="370">
        <v>86</v>
      </c>
      <c r="E43" s="370"/>
      <c r="F43" s="370">
        <v>82</v>
      </c>
      <c r="G43" s="370"/>
      <c r="H43" s="368">
        <v>79</v>
      </c>
      <c r="I43" s="368"/>
      <c r="J43" s="368">
        <v>75</v>
      </c>
      <c r="L43" s="494">
        <v>73</v>
      </c>
      <c r="N43" s="444">
        <v>71</v>
      </c>
      <c r="P43" s="495">
        <v>54</v>
      </c>
      <c r="R43" s="495">
        <v>48</v>
      </c>
      <c r="T43" s="495">
        <v>47</v>
      </c>
      <c r="U43" s="495">
        <v>45</v>
      </c>
      <c r="V43" s="495">
        <v>44</v>
      </c>
      <c r="W43" s="495">
        <v>45</v>
      </c>
      <c r="X43" s="495">
        <v>46</v>
      </c>
      <c r="Y43" s="495">
        <v>46</v>
      </c>
      <c r="Z43" s="468"/>
      <c r="AA43" s="444">
        <v>45</v>
      </c>
      <c r="AB43" s="378">
        <v>46</v>
      </c>
      <c r="AC43" s="369">
        <v>16314</v>
      </c>
      <c r="AD43" s="369">
        <v>15951</v>
      </c>
      <c r="AE43" s="369">
        <v>16506</v>
      </c>
      <c r="AF43" s="369">
        <v>16680</v>
      </c>
      <c r="AG43" s="444">
        <v>16658</v>
      </c>
      <c r="AH43" s="444">
        <v>16746</v>
      </c>
      <c r="AI43" s="495">
        <v>18740.740740740741</v>
      </c>
      <c r="AJ43" s="495">
        <v>19187.5</v>
      </c>
      <c r="AK43" s="495">
        <v>18978.723404255321</v>
      </c>
      <c r="AL43" s="495">
        <v>19644.444444444445</v>
      </c>
      <c r="AM43" s="495">
        <v>19477.272727272728</v>
      </c>
      <c r="AN43" s="495">
        <v>20088.888888888887</v>
      </c>
      <c r="AO43" s="495">
        <v>20435</v>
      </c>
      <c r="AP43" s="495">
        <v>20326</v>
      </c>
      <c r="AQ43" s="496"/>
      <c r="AS43" s="378" t="s">
        <v>325</v>
      </c>
      <c r="AT43" s="444">
        <v>1403</v>
      </c>
      <c r="AU43" s="477">
        <v>0.90345928959637334</v>
      </c>
      <c r="AV43" s="444">
        <v>1308</v>
      </c>
      <c r="AW43" s="477">
        <v>0.8493175590561407</v>
      </c>
      <c r="AX43" s="479">
        <v>1304</v>
      </c>
      <c r="AY43" s="477">
        <v>0.83541011333132598</v>
      </c>
      <c r="AZ43" s="368">
        <v>1251</v>
      </c>
      <c r="BA43" s="363">
        <v>0.79548778471595172</v>
      </c>
      <c r="BB43" s="497">
        <v>1216</v>
      </c>
      <c r="BC43" s="475">
        <v>0.74789807428546828</v>
      </c>
      <c r="BD43" s="497">
        <v>1189</v>
      </c>
      <c r="BE43" s="498">
        <v>0.71030449301942133</v>
      </c>
      <c r="BF43" s="497">
        <v>1012</v>
      </c>
      <c r="BG43" s="499">
        <f t="shared" si="11"/>
        <v>0.57197535532273369</v>
      </c>
      <c r="BH43" s="446">
        <v>892</v>
      </c>
      <c r="BI43" s="499">
        <f t="shared" si="12"/>
        <v>0.46951742346523861</v>
      </c>
      <c r="BJ43" s="444">
        <v>884</v>
      </c>
      <c r="BK43" s="499">
        <f t="shared" si="13"/>
        <v>0.46690075084401289</v>
      </c>
      <c r="BL43" s="495">
        <v>857</v>
      </c>
      <c r="BM43" s="499">
        <f t="shared" si="14"/>
        <v>0.44667311919083891</v>
      </c>
      <c r="BN43" s="444">
        <v>904</v>
      </c>
      <c r="BO43" s="499">
        <f t="shared" si="15"/>
        <v>0.46083748036088057</v>
      </c>
      <c r="BP43" s="446">
        <v>940</v>
      </c>
      <c r="BQ43" s="499">
        <f t="shared" si="5"/>
        <v>0.4687414292624304</v>
      </c>
      <c r="BR43" s="446">
        <v>935</v>
      </c>
      <c r="BS43" s="500">
        <v>4.5999999999999999E-3</v>
      </c>
      <c r="BT43" s="367"/>
      <c r="BU43" s="367"/>
      <c r="BV43" s="367"/>
      <c r="BW43" s="367"/>
      <c r="BX43" s="367"/>
      <c r="BY43" s="367"/>
      <c r="BZ43" s="367"/>
      <c r="CA43" s="446"/>
    </row>
    <row r="44" spans="1:91" ht="15.75" hidden="1">
      <c r="B44" s="378" t="s">
        <v>326</v>
      </c>
      <c r="C44" s="379"/>
      <c r="D44" s="370">
        <v>162</v>
      </c>
      <c r="E44" s="370"/>
      <c r="F44" s="370">
        <v>153</v>
      </c>
      <c r="G44" s="370"/>
      <c r="H44" s="368">
        <v>148</v>
      </c>
      <c r="I44" s="368"/>
      <c r="J44" s="368">
        <v>140</v>
      </c>
      <c r="L44" s="494">
        <v>133</v>
      </c>
      <c r="N44" s="444">
        <v>132</v>
      </c>
      <c r="P44" s="495">
        <v>106</v>
      </c>
      <c r="R44" s="495">
        <v>90</v>
      </c>
      <c r="T44" s="495">
        <v>90</v>
      </c>
      <c r="U44" s="495">
        <v>84</v>
      </c>
      <c r="V44" s="495">
        <v>78</v>
      </c>
      <c r="W44" s="495">
        <v>76</v>
      </c>
      <c r="X44" s="495">
        <v>74</v>
      </c>
      <c r="Y44" s="495">
        <v>71</v>
      </c>
      <c r="Z44" s="468"/>
      <c r="AA44" s="444">
        <v>76</v>
      </c>
      <c r="AB44" s="378">
        <v>74</v>
      </c>
      <c r="AC44" s="369">
        <v>12469</v>
      </c>
      <c r="AD44" s="369">
        <v>12156.862745098038</v>
      </c>
      <c r="AE44" s="369">
        <v>12264</v>
      </c>
      <c r="AF44" s="369">
        <v>12214</v>
      </c>
      <c r="AG44" s="444">
        <v>12414</v>
      </c>
      <c r="AH44" s="444">
        <v>12841</v>
      </c>
      <c r="AI44" s="495">
        <v>12896.226415094339</v>
      </c>
      <c r="AJ44" s="495">
        <v>13888.888888888889</v>
      </c>
      <c r="AK44" s="495">
        <v>13444.444444444445</v>
      </c>
      <c r="AL44" s="495">
        <v>14190.476190476189</v>
      </c>
      <c r="AM44" s="495">
        <v>14628.205128205127</v>
      </c>
      <c r="AN44" s="495">
        <v>14342.105263157895</v>
      </c>
      <c r="AO44" s="495">
        <v>15135</v>
      </c>
      <c r="AP44" s="495">
        <v>15155</v>
      </c>
      <c r="AQ44" s="496"/>
      <c r="AS44" s="378" t="s">
        <v>326</v>
      </c>
      <c r="AT44" s="444">
        <v>2020</v>
      </c>
      <c r="AU44" s="477">
        <v>1.3007753136027613</v>
      </c>
      <c r="AV44" s="444">
        <v>1860</v>
      </c>
      <c r="AW44" s="477">
        <v>1.207745152786255</v>
      </c>
      <c r="AX44" s="479">
        <v>1815</v>
      </c>
      <c r="AY44" s="477">
        <v>1.1627832482334024</v>
      </c>
      <c r="AZ44" s="368">
        <v>1710</v>
      </c>
      <c r="BA44" s="363">
        <v>1.0873574035685671</v>
      </c>
      <c r="BB44" s="497">
        <v>1651</v>
      </c>
      <c r="BC44" s="475">
        <v>1.0154438492148916</v>
      </c>
      <c r="BD44" s="497">
        <v>1695</v>
      </c>
      <c r="BE44" s="498">
        <v>1.0125871452211264</v>
      </c>
      <c r="BF44" s="497">
        <v>1367</v>
      </c>
      <c r="BG44" s="499">
        <f t="shared" si="11"/>
        <v>0.77261888411677559</v>
      </c>
      <c r="BH44" s="446">
        <v>1210</v>
      </c>
      <c r="BI44" s="499">
        <f t="shared" si="12"/>
        <v>0.63690143766024521</v>
      </c>
      <c r="BJ44" s="444">
        <v>1192</v>
      </c>
      <c r="BK44" s="499">
        <f t="shared" si="13"/>
        <v>0.62957657806115763</v>
      </c>
      <c r="BL44" s="495">
        <v>1141</v>
      </c>
      <c r="BM44" s="499">
        <f t="shared" si="14"/>
        <v>0.59469548307671782</v>
      </c>
      <c r="BN44" s="444">
        <v>1090</v>
      </c>
      <c r="BO44" s="499">
        <f t="shared" si="15"/>
        <v>0.55565581149707943</v>
      </c>
      <c r="BP44" s="446">
        <v>1120</v>
      </c>
      <c r="BQ44" s="499">
        <f t="shared" si="5"/>
        <v>0.55850042635523611</v>
      </c>
      <c r="BR44" s="446">
        <v>1076</v>
      </c>
      <c r="BS44" s="500">
        <v>5.3E-3</v>
      </c>
      <c r="BT44" s="367"/>
      <c r="BU44" s="367"/>
      <c r="BV44" s="367"/>
      <c r="BW44" s="367"/>
      <c r="BX44" s="367"/>
      <c r="BY44" s="367"/>
      <c r="BZ44" s="367"/>
      <c r="CA44" s="446"/>
    </row>
    <row r="45" spans="1:91" ht="15.75" hidden="1">
      <c r="B45" s="378" t="s">
        <v>327</v>
      </c>
      <c r="C45" s="379"/>
      <c r="D45" s="370">
        <v>127</v>
      </c>
      <c r="E45" s="370"/>
      <c r="F45" s="370">
        <v>117</v>
      </c>
      <c r="G45" s="370"/>
      <c r="H45" s="368">
        <v>113</v>
      </c>
      <c r="I45" s="368"/>
      <c r="J45" s="368">
        <v>105</v>
      </c>
      <c r="L45" s="494">
        <v>97</v>
      </c>
      <c r="N45" s="444">
        <v>95</v>
      </c>
      <c r="P45" s="495">
        <v>70</v>
      </c>
      <c r="R45" s="495">
        <v>63</v>
      </c>
      <c r="T45" s="495">
        <v>59</v>
      </c>
      <c r="U45" s="495">
        <v>56</v>
      </c>
      <c r="V45" s="495">
        <v>52</v>
      </c>
      <c r="W45" s="495">
        <v>50</v>
      </c>
      <c r="X45" s="495">
        <v>50</v>
      </c>
      <c r="Y45" s="495">
        <v>48</v>
      </c>
      <c r="Z45" s="468"/>
      <c r="AA45" s="444">
        <v>50</v>
      </c>
      <c r="AB45" s="378">
        <v>50</v>
      </c>
      <c r="AC45" s="369">
        <v>13740</v>
      </c>
      <c r="AD45" s="369">
        <v>13932</v>
      </c>
      <c r="AE45" s="369">
        <v>14239</v>
      </c>
      <c r="AF45" s="369">
        <v>14295</v>
      </c>
      <c r="AG45" s="444">
        <v>14608</v>
      </c>
      <c r="AH45" s="444">
        <v>14789</v>
      </c>
      <c r="AI45" s="495">
        <v>15742.857142857141</v>
      </c>
      <c r="AJ45" s="495">
        <v>15857.142857142857</v>
      </c>
      <c r="AK45" s="495">
        <v>16067.796610169491</v>
      </c>
      <c r="AL45" s="495">
        <v>16232.142857142857</v>
      </c>
      <c r="AM45" s="495">
        <v>16269.23076923077</v>
      </c>
      <c r="AN45" s="495">
        <v>16200</v>
      </c>
      <c r="AO45" s="495">
        <v>16100</v>
      </c>
      <c r="AP45" s="495">
        <v>15979</v>
      </c>
      <c r="AQ45" s="496"/>
      <c r="AS45" s="378" t="s">
        <v>327</v>
      </c>
      <c r="AT45" s="444">
        <v>1745</v>
      </c>
      <c r="AU45" s="477">
        <v>1.1236895654637715</v>
      </c>
      <c r="AV45" s="444">
        <v>1630</v>
      </c>
      <c r="AW45" s="477">
        <v>1.0584003220653742</v>
      </c>
      <c r="AX45" s="479">
        <v>1609</v>
      </c>
      <c r="AY45" s="477">
        <v>1.0308089511887297</v>
      </c>
      <c r="AZ45" s="368">
        <v>1501</v>
      </c>
      <c r="BA45" s="363">
        <v>0.95445816535463113</v>
      </c>
      <c r="BB45" s="497">
        <v>1417</v>
      </c>
      <c r="BC45" s="475">
        <v>0.87152267373561554</v>
      </c>
      <c r="BD45" s="497">
        <v>1405</v>
      </c>
      <c r="BE45" s="498">
        <v>0.83934214692370646</v>
      </c>
      <c r="BF45" s="497">
        <v>1102</v>
      </c>
      <c r="BG45" s="499">
        <f t="shared" si="11"/>
        <v>0.62284272881981473</v>
      </c>
      <c r="BH45" s="446">
        <v>948</v>
      </c>
      <c r="BI45" s="499">
        <f t="shared" si="12"/>
        <v>0.49899385363794418</v>
      </c>
      <c r="BJ45" s="444">
        <v>909</v>
      </c>
      <c r="BK45" s="499">
        <f t="shared" si="13"/>
        <v>0.48010495759865129</v>
      </c>
      <c r="BL45" s="495">
        <v>846</v>
      </c>
      <c r="BM45" s="499">
        <f t="shared" si="14"/>
        <v>0.44093985861779433</v>
      </c>
      <c r="BN45" s="444">
        <v>810</v>
      </c>
      <c r="BO45" s="499">
        <f t="shared" si="15"/>
        <v>0.41291853881893059</v>
      </c>
      <c r="BP45" s="446">
        <v>805</v>
      </c>
      <c r="BQ45" s="499">
        <f t="shared" si="5"/>
        <v>0.40142218144282604</v>
      </c>
      <c r="BR45" s="446">
        <v>767</v>
      </c>
      <c r="BS45" s="500">
        <v>3.8E-3</v>
      </c>
      <c r="BT45" s="367"/>
      <c r="BU45" s="367"/>
      <c r="BV45" s="367"/>
      <c r="BW45" s="367"/>
      <c r="BX45" s="367"/>
      <c r="BY45" s="367"/>
      <c r="BZ45" s="367"/>
      <c r="CA45" s="446"/>
    </row>
    <row r="46" spans="1:91" ht="15.75" hidden="1">
      <c r="B46" s="468"/>
      <c r="C46" s="446"/>
      <c r="D46" s="502"/>
      <c r="E46" s="502"/>
      <c r="F46" s="370"/>
      <c r="G46" s="502"/>
      <c r="H46" s="368"/>
      <c r="I46" s="368"/>
      <c r="J46" s="368"/>
      <c r="L46" s="494"/>
      <c r="P46" s="495"/>
      <c r="R46" s="495"/>
      <c r="T46" s="495"/>
      <c r="U46" s="495"/>
      <c r="V46" s="495"/>
      <c r="W46" s="495"/>
      <c r="X46" s="495"/>
      <c r="Y46" s="495"/>
      <c r="Z46" s="468"/>
      <c r="AB46" s="468"/>
      <c r="AC46" s="369"/>
      <c r="AD46" s="369"/>
      <c r="AE46" s="369"/>
      <c r="AF46" s="369"/>
      <c r="AI46" s="495"/>
      <c r="AJ46" s="495"/>
      <c r="AK46" s="495"/>
      <c r="AL46" s="495"/>
      <c r="AM46" s="495"/>
      <c r="AN46" s="495"/>
      <c r="AO46" s="495"/>
      <c r="AP46" s="495"/>
      <c r="AQ46" s="496"/>
      <c r="AS46" s="468"/>
      <c r="AU46" s="477"/>
      <c r="AV46" s="444"/>
      <c r="AW46" s="477"/>
      <c r="AX46" s="479"/>
      <c r="AY46" s="477"/>
      <c r="AZ46" s="504"/>
      <c r="BA46" s="363"/>
      <c r="BB46" s="489"/>
      <c r="BC46" s="475"/>
      <c r="BD46" s="489"/>
      <c r="BE46" s="490"/>
      <c r="BF46" s="489"/>
      <c r="BG46" s="477"/>
      <c r="BH46" s="454"/>
      <c r="BI46" s="499"/>
      <c r="BJ46" s="446"/>
      <c r="BK46" s="499"/>
      <c r="BL46" s="495"/>
      <c r="BM46" s="499"/>
      <c r="BN46" s="446"/>
      <c r="BO46" s="499"/>
      <c r="BP46" s="446"/>
      <c r="BQ46" s="499"/>
      <c r="BR46" s="446"/>
      <c r="BS46" s="500"/>
      <c r="BT46" s="367"/>
      <c r="BU46" s="367"/>
      <c r="BV46" s="367"/>
      <c r="BW46" s="446"/>
      <c r="BX46" s="446"/>
      <c r="BY46" s="446"/>
      <c r="BZ46" s="446"/>
      <c r="CA46" s="446"/>
    </row>
    <row r="47" spans="1:91" ht="16.149999999999999" hidden="1" customHeight="1">
      <c r="A47" s="480" t="s">
        <v>328</v>
      </c>
      <c r="B47" s="468"/>
      <c r="C47" s="446"/>
      <c r="D47" s="365">
        <v>323</v>
      </c>
      <c r="E47" s="365"/>
      <c r="F47" s="365">
        <v>311</v>
      </c>
      <c r="G47" s="365"/>
      <c r="H47" s="482">
        <v>314</v>
      </c>
      <c r="I47" s="482"/>
      <c r="J47" s="365">
        <v>306</v>
      </c>
      <c r="L47" s="483">
        <v>299</v>
      </c>
      <c r="N47" s="483">
        <v>293</v>
      </c>
      <c r="P47" s="484">
        <v>252</v>
      </c>
      <c r="Q47" s="483"/>
      <c r="R47" s="484">
        <v>233</v>
      </c>
      <c r="S47" s="483"/>
      <c r="T47" s="484">
        <v>226</v>
      </c>
      <c r="U47" s="484">
        <v>220</v>
      </c>
      <c r="V47" s="484">
        <v>220</v>
      </c>
      <c r="W47" s="484">
        <v>225</v>
      </c>
      <c r="X47" s="484">
        <v>229</v>
      </c>
      <c r="Y47" s="484">
        <v>228</v>
      </c>
      <c r="Z47" s="468"/>
      <c r="AA47" s="480">
        <v>225</v>
      </c>
      <c r="AB47" s="468">
        <v>229</v>
      </c>
      <c r="AC47" s="364">
        <v>14888.544891640868</v>
      </c>
      <c r="AD47" s="364">
        <v>15118.971061093249</v>
      </c>
      <c r="AE47" s="364">
        <v>15219.745222929936</v>
      </c>
      <c r="AF47" s="364">
        <v>14816.993464052288</v>
      </c>
      <c r="AG47" s="365">
        <v>15357.859531772576</v>
      </c>
      <c r="AH47" s="455">
        <v>15747.440273037542</v>
      </c>
      <c r="AI47" s="484">
        <v>16599.206349206346</v>
      </c>
      <c r="AJ47" s="484">
        <v>17261.802575107296</v>
      </c>
      <c r="AK47" s="484">
        <v>17349.557522123894</v>
      </c>
      <c r="AL47" s="484">
        <v>18022.727272727272</v>
      </c>
      <c r="AM47" s="484">
        <v>17940.909090909092</v>
      </c>
      <c r="AN47" s="484">
        <v>18413.333333333336</v>
      </c>
      <c r="AO47" s="484">
        <v>18681</v>
      </c>
      <c r="AP47" s="484">
        <v>18978</v>
      </c>
      <c r="AQ47" s="485"/>
      <c r="AR47" s="480" t="s">
        <v>328</v>
      </c>
      <c r="AS47" s="481"/>
      <c r="AT47" s="455">
        <v>4809</v>
      </c>
      <c r="AU47" s="486">
        <v>3.096746773819643</v>
      </c>
      <c r="AV47" s="455">
        <v>4702</v>
      </c>
      <c r="AW47" s="486">
        <v>3.0531278002155759</v>
      </c>
      <c r="AX47" s="487">
        <v>4779</v>
      </c>
      <c r="AY47" s="486">
        <v>3.0616755610509254</v>
      </c>
      <c r="AZ47" s="488">
        <v>4534</v>
      </c>
      <c r="BA47" s="366">
        <v>2.8830868232630897</v>
      </c>
      <c r="BB47" s="489">
        <v>4592</v>
      </c>
      <c r="BC47" s="490">
        <v>2.8242993068411764</v>
      </c>
      <c r="BD47" s="489">
        <v>4614</v>
      </c>
      <c r="BE47" s="490">
        <v>2.7563876625665351</v>
      </c>
      <c r="BF47" s="489">
        <v>4183</v>
      </c>
      <c r="BG47" s="486">
        <f>+(BF47/$BF$79)*100</f>
        <v>2.3642024815365561</v>
      </c>
      <c r="BH47" s="454">
        <v>3921</v>
      </c>
      <c r="BI47" s="486">
        <f>+(BH47/$BH$79)*100</f>
        <v>2.0638764769139022</v>
      </c>
      <c r="BJ47" s="491">
        <v>3965</v>
      </c>
      <c r="BK47" s="486">
        <f>+(BJ47/$BJ$79)*100</f>
        <v>2.0941871912856462</v>
      </c>
      <c r="BL47" s="484">
        <v>3947</v>
      </c>
      <c r="BM47" s="486">
        <f>+(BL47/$BL$79)*100</f>
        <v>2.0571981347097328</v>
      </c>
      <c r="BN47" s="491">
        <v>4143</v>
      </c>
      <c r="BO47" s="486">
        <f>+(BN47/$BN$79)*100</f>
        <v>2.1120018596627528</v>
      </c>
      <c r="BP47" s="454">
        <v>4278</v>
      </c>
      <c r="BQ47" s="486">
        <f t="shared" si="5"/>
        <v>2.1332721642390182</v>
      </c>
      <c r="BR47" s="454">
        <v>4327</v>
      </c>
      <c r="BS47" s="492">
        <v>2.1499999999999998E-2</v>
      </c>
      <c r="BT47" s="367"/>
      <c r="BU47" s="367"/>
      <c r="BV47" s="367"/>
      <c r="BW47" s="367"/>
      <c r="BX47" s="367"/>
      <c r="BY47" s="454"/>
      <c r="BZ47" s="367"/>
      <c r="CA47" s="454"/>
      <c r="CB47" s="455"/>
      <c r="CC47" s="455"/>
      <c r="CD47" s="455"/>
      <c r="CE47" s="455"/>
      <c r="CF47" s="455"/>
      <c r="CG47" s="455"/>
      <c r="CH47" s="455"/>
      <c r="CI47" s="455"/>
      <c r="CJ47" s="455"/>
      <c r="CK47" s="455"/>
      <c r="CL47" s="455"/>
      <c r="CM47" s="455"/>
    </row>
    <row r="48" spans="1:91" ht="15.75" hidden="1">
      <c r="B48" s="378" t="s">
        <v>329</v>
      </c>
      <c r="C48" s="379"/>
      <c r="D48" s="370">
        <v>27</v>
      </c>
      <c r="E48" s="370"/>
      <c r="F48" s="370">
        <v>26</v>
      </c>
      <c r="G48" s="370"/>
      <c r="H48" s="368">
        <v>26</v>
      </c>
      <c r="I48" s="368"/>
      <c r="J48" s="368">
        <v>25</v>
      </c>
      <c r="L48" s="494">
        <v>24</v>
      </c>
      <c r="N48" s="444">
        <v>23</v>
      </c>
      <c r="P48" s="495">
        <v>18</v>
      </c>
      <c r="R48" s="495">
        <v>18</v>
      </c>
      <c r="T48" s="495">
        <v>18</v>
      </c>
      <c r="U48" s="495">
        <v>17</v>
      </c>
      <c r="V48" s="495">
        <v>16</v>
      </c>
      <c r="W48" s="495">
        <v>16</v>
      </c>
      <c r="X48" s="495">
        <v>16</v>
      </c>
      <c r="Y48" s="495">
        <v>16</v>
      </c>
      <c r="Z48" s="468"/>
      <c r="AA48" s="444">
        <v>16</v>
      </c>
      <c r="AB48" s="378">
        <v>16</v>
      </c>
      <c r="AC48" s="369">
        <v>14481</v>
      </c>
      <c r="AD48" s="369">
        <v>14653.846153846152</v>
      </c>
      <c r="AE48" s="369">
        <v>15269</v>
      </c>
      <c r="AF48" s="369">
        <v>14960</v>
      </c>
      <c r="AG48" s="444">
        <v>15375</v>
      </c>
      <c r="AH48" s="444">
        <v>16087</v>
      </c>
      <c r="AI48" s="495">
        <v>16000</v>
      </c>
      <c r="AJ48" s="495">
        <v>17888.888888888891</v>
      </c>
      <c r="AK48" s="495">
        <v>17888.888888888891</v>
      </c>
      <c r="AL48" s="495">
        <v>19000</v>
      </c>
      <c r="AM48" s="495">
        <v>17687.5</v>
      </c>
      <c r="AN48" s="495">
        <v>17437.5</v>
      </c>
      <c r="AO48" s="495">
        <v>17250</v>
      </c>
      <c r="AP48" s="495">
        <v>16500</v>
      </c>
      <c r="AQ48" s="496"/>
      <c r="AS48" s="378" t="s">
        <v>329</v>
      </c>
      <c r="AT48" s="444">
        <v>391</v>
      </c>
      <c r="AU48" s="477">
        <v>0.25178373644489094</v>
      </c>
      <c r="AV48" s="444">
        <v>381</v>
      </c>
      <c r="AW48" s="477">
        <v>0.24739295871589417</v>
      </c>
      <c r="AX48" s="479">
        <v>397</v>
      </c>
      <c r="AY48" s="477">
        <v>0.25433881517832546</v>
      </c>
      <c r="AZ48" s="507">
        <v>374</v>
      </c>
      <c r="BA48" s="363">
        <v>0.23781968943546439</v>
      </c>
      <c r="BB48" s="497">
        <v>369</v>
      </c>
      <c r="BC48" s="475">
        <v>0.22695262287116594</v>
      </c>
      <c r="BD48" s="497">
        <v>370</v>
      </c>
      <c r="BE48" s="498">
        <v>0.22103672196567359</v>
      </c>
      <c r="BF48" s="497">
        <v>288</v>
      </c>
      <c r="BG48" s="499">
        <f>+(BF48/$BF$79)*100</f>
        <v>0.16277559519065937</v>
      </c>
      <c r="BH48" s="446">
        <v>322</v>
      </c>
      <c r="BI48" s="499">
        <f>+(BH48/$BH$79)*100</f>
        <v>0.16948947349305699</v>
      </c>
      <c r="BJ48" s="444">
        <v>323</v>
      </c>
      <c r="BK48" s="499">
        <f>+(BJ48/$BJ$79)*100</f>
        <v>0.17059835126992778</v>
      </c>
      <c r="BL48" s="495">
        <v>283</v>
      </c>
      <c r="BM48" s="499">
        <f>+(BL48/$BL$79)*100</f>
        <v>0.14750115837923852</v>
      </c>
      <c r="BN48" s="444">
        <v>279</v>
      </c>
      <c r="BO48" s="499">
        <f>+(BN48/$BN$79)*100</f>
        <v>0.14222749670429832</v>
      </c>
      <c r="BP48" s="446">
        <v>276</v>
      </c>
      <c r="BQ48" s="499">
        <f t="shared" si="5"/>
        <v>0.13763046220896893</v>
      </c>
      <c r="BR48" s="446">
        <v>264</v>
      </c>
      <c r="BS48" s="500">
        <v>1.2999999999999999E-3</v>
      </c>
      <c r="BT48" s="367"/>
      <c r="BU48" s="367"/>
      <c r="BV48" s="367"/>
      <c r="BW48" s="367"/>
      <c r="BX48" s="367"/>
      <c r="BY48" s="367"/>
      <c r="BZ48" s="367"/>
      <c r="CA48" s="446"/>
    </row>
    <row r="49" spans="1:91" ht="15.75" hidden="1">
      <c r="B49" s="378" t="s">
        <v>330</v>
      </c>
      <c r="C49" s="379"/>
      <c r="D49" s="370">
        <v>100</v>
      </c>
      <c r="E49" s="370"/>
      <c r="F49" s="370">
        <v>97</v>
      </c>
      <c r="G49" s="370"/>
      <c r="H49" s="368">
        <v>97</v>
      </c>
      <c r="I49" s="368"/>
      <c r="J49" s="368">
        <v>93</v>
      </c>
      <c r="L49" s="494">
        <v>90</v>
      </c>
      <c r="N49" s="444">
        <v>88</v>
      </c>
      <c r="P49" s="495">
        <v>81</v>
      </c>
      <c r="R49" s="495">
        <v>77</v>
      </c>
      <c r="T49" s="495">
        <v>76</v>
      </c>
      <c r="U49" s="495">
        <v>77</v>
      </c>
      <c r="V49" s="495">
        <v>79</v>
      </c>
      <c r="W49" s="495">
        <v>79</v>
      </c>
      <c r="X49" s="495">
        <v>80</v>
      </c>
      <c r="Y49" s="495">
        <v>80</v>
      </c>
      <c r="Z49" s="468"/>
      <c r="AA49" s="444">
        <v>79</v>
      </c>
      <c r="AB49" s="378">
        <v>80</v>
      </c>
      <c r="AC49" s="369">
        <v>15550</v>
      </c>
      <c r="AD49" s="369">
        <v>15319.58762886598</v>
      </c>
      <c r="AE49" s="369">
        <v>15340.206185567011</v>
      </c>
      <c r="AF49" s="369">
        <v>15452</v>
      </c>
      <c r="AG49" s="444">
        <v>16100</v>
      </c>
      <c r="AH49" s="444">
        <v>16284</v>
      </c>
      <c r="AI49" s="495">
        <v>17259.259259259259</v>
      </c>
      <c r="AJ49" s="495">
        <v>18168.83116883117</v>
      </c>
      <c r="AK49" s="495">
        <v>17828.94736842105</v>
      </c>
      <c r="AL49" s="495">
        <v>18181.818181818184</v>
      </c>
      <c r="AM49" s="495">
        <v>17531.645569620254</v>
      </c>
      <c r="AN49" s="495">
        <v>18354.430379746835</v>
      </c>
      <c r="AO49" s="495">
        <v>19125</v>
      </c>
      <c r="AP49" s="495">
        <v>19500</v>
      </c>
      <c r="AQ49" s="496"/>
      <c r="AS49" s="378" t="s">
        <v>330</v>
      </c>
      <c r="AT49" s="444">
        <v>1555</v>
      </c>
      <c r="AU49" s="477">
        <v>1.0013394122041057</v>
      </c>
      <c r="AV49" s="444">
        <v>1486</v>
      </c>
      <c r="AW49" s="477">
        <v>0.96489747152708338</v>
      </c>
      <c r="AX49" s="479">
        <v>1488</v>
      </c>
      <c r="AY49" s="477">
        <v>0.95329006797316951</v>
      </c>
      <c r="AZ49" s="507">
        <v>1437</v>
      </c>
      <c r="BA49" s="363">
        <v>0.91376174791112919</v>
      </c>
      <c r="BB49" s="497">
        <v>1449</v>
      </c>
      <c r="BC49" s="475">
        <v>0.89120420200628581</v>
      </c>
      <c r="BD49" s="497">
        <v>1433</v>
      </c>
      <c r="BE49" s="498">
        <v>0.85606925020759528</v>
      </c>
      <c r="BF49" s="497">
        <v>1398</v>
      </c>
      <c r="BG49" s="499">
        <f>+(BF49/$BF$79)*100</f>
        <v>0.79013986832132577</v>
      </c>
      <c r="BH49" s="446">
        <v>1355</v>
      </c>
      <c r="BI49" s="499">
        <f>+(BH49/$BH$79)*100</f>
        <v>0.71322433721457212</v>
      </c>
      <c r="BJ49" s="444">
        <v>1400</v>
      </c>
      <c r="BK49" s="499">
        <f>+(BJ49/$BJ$79)*100</f>
        <v>0.73943557825974893</v>
      </c>
      <c r="BL49" s="495">
        <v>1385</v>
      </c>
      <c r="BM49" s="499">
        <f>+(BL49/$BL$79)*100</f>
        <v>0.72186962669697996</v>
      </c>
      <c r="BN49" s="444">
        <v>1450</v>
      </c>
      <c r="BO49" s="499">
        <f>+(BN49/$BN$79)*100</f>
        <v>0.73917516208327083</v>
      </c>
      <c r="BP49" s="446">
        <v>1530</v>
      </c>
      <c r="BQ49" s="499">
        <f t="shared" si="5"/>
        <v>0.76295147528884943</v>
      </c>
      <c r="BR49" s="446">
        <v>1560</v>
      </c>
      <c r="BS49" s="500">
        <v>7.7999999999999996E-3</v>
      </c>
      <c r="BT49" s="367"/>
      <c r="BU49" s="367"/>
      <c r="BV49" s="367"/>
      <c r="BW49" s="367"/>
      <c r="BX49" s="367"/>
      <c r="BY49" s="367"/>
      <c r="BZ49" s="367"/>
      <c r="CA49" s="446"/>
    </row>
    <row r="50" spans="1:91" ht="15.75" hidden="1">
      <c r="B50" s="378" t="s">
        <v>331</v>
      </c>
      <c r="C50" s="379"/>
      <c r="D50" s="370">
        <v>162</v>
      </c>
      <c r="E50" s="370"/>
      <c r="F50" s="370">
        <v>156</v>
      </c>
      <c r="G50" s="370"/>
      <c r="H50" s="368">
        <v>160</v>
      </c>
      <c r="I50" s="368"/>
      <c r="J50" s="368">
        <v>160</v>
      </c>
      <c r="L50" s="494">
        <v>158</v>
      </c>
      <c r="N50" s="444">
        <v>157</v>
      </c>
      <c r="P50" s="495">
        <v>137</v>
      </c>
      <c r="R50" s="495">
        <v>125</v>
      </c>
      <c r="T50" s="495">
        <v>120</v>
      </c>
      <c r="U50" s="495">
        <v>115</v>
      </c>
      <c r="V50" s="495">
        <v>114</v>
      </c>
      <c r="W50" s="495">
        <v>119</v>
      </c>
      <c r="X50" s="495">
        <v>123</v>
      </c>
      <c r="Y50" s="495">
        <v>123</v>
      </c>
      <c r="Z50" s="468"/>
      <c r="AA50" s="444">
        <v>119</v>
      </c>
      <c r="AB50" s="378">
        <v>123</v>
      </c>
      <c r="AC50" s="369">
        <v>14698</v>
      </c>
      <c r="AD50" s="369">
        <v>15391.025641025641</v>
      </c>
      <c r="AE50" s="369">
        <v>15475</v>
      </c>
      <c r="AF50" s="369">
        <v>14606</v>
      </c>
      <c r="AG50" s="444">
        <v>15177</v>
      </c>
      <c r="AH50" s="444">
        <v>15688</v>
      </c>
      <c r="AI50" s="495">
        <v>16591.240875912408</v>
      </c>
      <c r="AJ50" s="495">
        <v>16832</v>
      </c>
      <c r="AK50" s="495">
        <v>17166.666666666668</v>
      </c>
      <c r="AL50" s="495">
        <v>18069.565217391304</v>
      </c>
      <c r="AM50" s="495">
        <v>18605.263157894737</v>
      </c>
      <c r="AN50" s="495">
        <v>19067.226890756301</v>
      </c>
      <c r="AO50" s="495">
        <v>19024</v>
      </c>
      <c r="AP50" s="495">
        <v>19374</v>
      </c>
      <c r="AQ50" s="496"/>
      <c r="AS50" s="378" t="s">
        <v>331</v>
      </c>
      <c r="AT50" s="444">
        <v>2381</v>
      </c>
      <c r="AU50" s="477">
        <v>1.533240604796126</v>
      </c>
      <c r="AV50" s="444">
        <v>2401</v>
      </c>
      <c r="AW50" s="477">
        <v>1.5590301676558056</v>
      </c>
      <c r="AX50" s="479">
        <v>2476</v>
      </c>
      <c r="AY50" s="477">
        <v>1.5862541722456771</v>
      </c>
      <c r="AZ50" s="507">
        <v>2337</v>
      </c>
      <c r="BA50" s="363">
        <v>1.4860551182103749</v>
      </c>
      <c r="BB50" s="497">
        <v>2398</v>
      </c>
      <c r="BC50" s="475">
        <v>1.4748845247833495</v>
      </c>
      <c r="BD50" s="497">
        <v>2463</v>
      </c>
      <c r="BE50" s="498">
        <v>1.4713876924363622</v>
      </c>
      <c r="BF50" s="497">
        <v>2273</v>
      </c>
      <c r="BG50" s="499">
        <f>+(BF50/$BF$79)*100</f>
        <v>1.2846837773207249</v>
      </c>
      <c r="BH50" s="446">
        <v>2060</v>
      </c>
      <c r="BI50" s="499">
        <f>+(BH50/$BH$79)*100</f>
        <v>1.0843115384959547</v>
      </c>
      <c r="BJ50" s="444">
        <v>2078</v>
      </c>
      <c r="BK50" s="499">
        <f>+(BJ50/$BJ$79)*100</f>
        <v>1.0975336654455417</v>
      </c>
      <c r="BL50" s="495">
        <v>2121</v>
      </c>
      <c r="BM50" s="499">
        <f>+(BL50/$BL$79)*100</f>
        <v>1.1054768795843282</v>
      </c>
      <c r="BN50" s="444">
        <v>2269</v>
      </c>
      <c r="BO50" s="499">
        <f>+(BN50/$BN$79)*100</f>
        <v>1.1566816846668562</v>
      </c>
      <c r="BP50" s="446">
        <v>2340</v>
      </c>
      <c r="BQ50" s="499">
        <f t="shared" si="5"/>
        <v>1.1668669622064758</v>
      </c>
      <c r="BR50" s="446">
        <v>2383</v>
      </c>
      <c r="BS50" s="500">
        <v>1.18E-2</v>
      </c>
      <c r="BT50" s="367"/>
      <c r="BU50" s="367"/>
      <c r="BV50" s="367"/>
      <c r="BW50" s="367"/>
      <c r="BX50" s="367"/>
      <c r="BY50" s="367"/>
      <c r="BZ50" s="367"/>
      <c r="CA50" s="446"/>
    </row>
    <row r="51" spans="1:91" ht="15.75" hidden="1">
      <c r="B51" s="378" t="s">
        <v>332</v>
      </c>
      <c r="C51" s="379"/>
      <c r="D51" s="370">
        <v>34</v>
      </c>
      <c r="E51" s="370"/>
      <c r="F51" s="370">
        <v>32</v>
      </c>
      <c r="G51" s="370"/>
      <c r="H51" s="368">
        <v>31</v>
      </c>
      <c r="I51" s="368"/>
      <c r="J51" s="368">
        <v>28</v>
      </c>
      <c r="L51" s="494">
        <v>27</v>
      </c>
      <c r="N51" s="444">
        <v>25</v>
      </c>
      <c r="P51" s="495">
        <v>16</v>
      </c>
      <c r="R51" s="495">
        <v>13</v>
      </c>
      <c r="T51" s="495">
        <v>12</v>
      </c>
      <c r="U51" s="495">
        <v>11</v>
      </c>
      <c r="V51" s="495">
        <v>11</v>
      </c>
      <c r="W51" s="495">
        <v>11</v>
      </c>
      <c r="X51" s="495">
        <v>10</v>
      </c>
      <c r="Y51" s="495">
        <v>9</v>
      </c>
      <c r="Z51" s="468"/>
      <c r="AA51" s="444">
        <v>11</v>
      </c>
      <c r="AB51" s="378">
        <v>10</v>
      </c>
      <c r="AC51" s="369">
        <v>14176</v>
      </c>
      <c r="AD51" s="369">
        <v>13562.5</v>
      </c>
      <c r="AE51" s="369">
        <v>13483.870967741936</v>
      </c>
      <c r="AF51" s="369">
        <v>13786</v>
      </c>
      <c r="AG51" s="444">
        <v>13926</v>
      </c>
      <c r="AH51" s="444">
        <v>13920</v>
      </c>
      <c r="AI51" s="495">
        <v>14000</v>
      </c>
      <c r="AJ51" s="495">
        <v>15153.846153846152</v>
      </c>
      <c r="AK51" s="495">
        <v>15333.333333333334</v>
      </c>
      <c r="AL51" s="495">
        <v>14909.090909090908</v>
      </c>
      <c r="AM51" s="495">
        <v>14363.636363636364</v>
      </c>
      <c r="AN51" s="495">
        <v>13181.818181818182</v>
      </c>
      <c r="AO51" s="495">
        <v>13200</v>
      </c>
      <c r="AP51" s="495">
        <v>13333</v>
      </c>
      <c r="AQ51" s="496"/>
      <c r="AS51" s="378" t="s">
        <v>332</v>
      </c>
      <c r="AT51" s="444">
        <v>482</v>
      </c>
      <c r="AU51" s="477">
        <v>0.31038302037452026</v>
      </c>
      <c r="AV51" s="444">
        <v>434</v>
      </c>
      <c r="AW51" s="477">
        <v>0.28180720231679285</v>
      </c>
      <c r="AX51" s="479">
        <v>418</v>
      </c>
      <c r="AY51" s="477">
        <v>0.26779250565375323</v>
      </c>
      <c r="AZ51" s="507">
        <v>386</v>
      </c>
      <c r="BA51" s="363">
        <v>0.24545026770612099</v>
      </c>
      <c r="BB51" s="497">
        <v>376</v>
      </c>
      <c r="BC51" s="475">
        <v>0.23125795718037506</v>
      </c>
      <c r="BD51" s="497">
        <v>348</v>
      </c>
      <c r="BE51" s="498">
        <v>0.2078939979569038</v>
      </c>
      <c r="BF51" s="497">
        <v>224</v>
      </c>
      <c r="BG51" s="499">
        <f>+(BF51/$BF$79)*100</f>
        <v>0.12660324070384618</v>
      </c>
      <c r="BH51" s="446">
        <v>184</v>
      </c>
      <c r="BI51" s="499">
        <f>+(BH51/$BH$79)*100</f>
        <v>9.6851127710318285E-2</v>
      </c>
      <c r="BJ51" s="444">
        <v>164</v>
      </c>
      <c r="BK51" s="499">
        <f>+(BJ51/$BJ$79)*100</f>
        <v>8.6619596310427732E-2</v>
      </c>
      <c r="BL51" s="495">
        <v>158</v>
      </c>
      <c r="BM51" s="499">
        <f>+(BL51/$BL$79)*100</f>
        <v>8.2350470049186164E-2</v>
      </c>
      <c r="BN51" s="444">
        <v>145</v>
      </c>
      <c r="BO51" s="499">
        <f>+(BN51/$BN$79)*100</f>
        <v>7.391751620832708E-2</v>
      </c>
      <c r="BP51" s="446">
        <v>132</v>
      </c>
      <c r="BQ51" s="499">
        <f t="shared" si="5"/>
        <v>6.5823264534724271E-2</v>
      </c>
      <c r="BR51" s="446">
        <v>120</v>
      </c>
      <c r="BS51" s="500">
        <v>5.9999999999999995E-4</v>
      </c>
      <c r="BT51" s="367"/>
      <c r="BU51" s="367"/>
      <c r="BV51" s="367"/>
      <c r="BW51" s="367"/>
      <c r="BX51" s="367"/>
      <c r="BY51" s="367"/>
      <c r="BZ51" s="367"/>
      <c r="CA51" s="446"/>
    </row>
    <row r="52" spans="1:91" ht="15.75" hidden="1">
      <c r="B52" s="468"/>
      <c r="C52" s="446"/>
      <c r="D52" s="502"/>
      <c r="E52" s="502"/>
      <c r="F52" s="370"/>
      <c r="G52" s="502"/>
      <c r="H52" s="368"/>
      <c r="I52" s="368"/>
      <c r="J52" s="368"/>
      <c r="L52" s="494"/>
      <c r="P52" s="495"/>
      <c r="R52" s="495"/>
      <c r="T52" s="495"/>
      <c r="U52" s="495"/>
      <c r="V52" s="495"/>
      <c r="W52" s="495"/>
      <c r="X52" s="495"/>
      <c r="Y52" s="495"/>
      <c r="Z52" s="468"/>
      <c r="AB52" s="468"/>
      <c r="AC52" s="369"/>
      <c r="AD52" s="369"/>
      <c r="AE52" s="369"/>
      <c r="AF52" s="369"/>
      <c r="AI52" s="495"/>
      <c r="AJ52" s="495"/>
      <c r="AK52" s="495"/>
      <c r="AL52" s="495"/>
      <c r="AM52" s="495"/>
      <c r="AN52" s="495"/>
      <c r="AO52" s="495"/>
      <c r="AP52" s="495"/>
      <c r="AQ52" s="496"/>
      <c r="AS52" s="468"/>
      <c r="AU52" s="477"/>
      <c r="AV52" s="444"/>
      <c r="AW52" s="477"/>
      <c r="AX52" s="479"/>
      <c r="AY52" s="477"/>
      <c r="AZ52" s="446"/>
      <c r="BA52" s="363"/>
      <c r="BB52" s="489"/>
      <c r="BC52" s="475"/>
      <c r="BD52" s="489"/>
      <c r="BE52" s="490"/>
      <c r="BF52" s="489"/>
      <c r="BG52" s="477"/>
      <c r="BH52" s="454"/>
      <c r="BI52" s="499"/>
      <c r="BJ52" s="446"/>
      <c r="BK52" s="499"/>
      <c r="BL52" s="495"/>
      <c r="BM52" s="499"/>
      <c r="BN52" s="446"/>
      <c r="BO52" s="499"/>
      <c r="BP52" s="446"/>
      <c r="BQ52" s="499"/>
      <c r="BR52" s="446"/>
      <c r="BS52" s="500"/>
      <c r="BT52" s="367"/>
      <c r="BU52" s="367"/>
      <c r="BV52" s="367"/>
      <c r="BW52" s="446"/>
      <c r="BX52" s="446"/>
      <c r="BY52" s="446"/>
      <c r="BZ52" s="446"/>
      <c r="CA52" s="446"/>
    </row>
    <row r="53" spans="1:91" ht="16.149999999999999" hidden="1" customHeight="1">
      <c r="A53" s="480" t="s">
        <v>333</v>
      </c>
      <c r="B53" s="468"/>
      <c r="C53" s="446"/>
      <c r="D53" s="365">
        <v>191</v>
      </c>
      <c r="E53" s="365"/>
      <c r="F53" s="365">
        <v>176</v>
      </c>
      <c r="G53" s="365"/>
      <c r="H53" s="482">
        <v>166</v>
      </c>
      <c r="I53" s="482"/>
      <c r="J53" s="482">
        <v>150</v>
      </c>
      <c r="L53" s="505">
        <v>141</v>
      </c>
      <c r="N53" s="505">
        <v>133</v>
      </c>
      <c r="P53" s="484">
        <v>82</v>
      </c>
      <c r="Q53" s="505"/>
      <c r="R53" s="484">
        <v>67</v>
      </c>
      <c r="S53" s="505"/>
      <c r="T53" s="484">
        <v>61</v>
      </c>
      <c r="U53" s="484">
        <v>54</v>
      </c>
      <c r="V53" s="484">
        <v>49</v>
      </c>
      <c r="W53" s="484">
        <v>44</v>
      </c>
      <c r="X53" s="484">
        <v>41</v>
      </c>
      <c r="Y53" s="484">
        <v>39</v>
      </c>
      <c r="Z53" s="468"/>
      <c r="AA53" s="480">
        <v>44</v>
      </c>
      <c r="AB53" s="468">
        <v>41</v>
      </c>
      <c r="AC53" s="364">
        <v>12272.251308900524</v>
      </c>
      <c r="AD53" s="364">
        <v>12335.227272727274</v>
      </c>
      <c r="AE53" s="364">
        <v>12427.710843373496</v>
      </c>
      <c r="AF53" s="364">
        <v>12466.666666666666</v>
      </c>
      <c r="AG53" s="365">
        <v>12645.390070921985</v>
      </c>
      <c r="AH53" s="455">
        <v>12962.406015037594</v>
      </c>
      <c r="AI53" s="484">
        <v>13585.365853658537</v>
      </c>
      <c r="AJ53" s="484">
        <v>13328.358208955224</v>
      </c>
      <c r="AK53" s="484">
        <v>13049.180327868851</v>
      </c>
      <c r="AL53" s="484">
        <v>12740.740740740741</v>
      </c>
      <c r="AM53" s="484">
        <v>12285.714285714286</v>
      </c>
      <c r="AN53" s="484">
        <v>13136.363636363636</v>
      </c>
      <c r="AO53" s="484">
        <v>13512</v>
      </c>
      <c r="AP53" s="484">
        <v>12718</v>
      </c>
      <c r="AQ53" s="485"/>
      <c r="AR53" s="480" t="s">
        <v>333</v>
      </c>
      <c r="AS53" s="481"/>
      <c r="AT53" s="455">
        <v>2344</v>
      </c>
      <c r="AU53" s="486">
        <v>1.5094145223192437</v>
      </c>
      <c r="AV53" s="455">
        <v>2171</v>
      </c>
      <c r="AW53" s="486">
        <v>1.4096853369349247</v>
      </c>
      <c r="AX53" s="487">
        <v>2063</v>
      </c>
      <c r="AY53" s="486">
        <v>1.3216649262289306</v>
      </c>
      <c r="AZ53" s="488">
        <v>1870</v>
      </c>
      <c r="BA53" s="366">
        <v>1.1890984471773218</v>
      </c>
      <c r="BB53" s="489">
        <v>1783</v>
      </c>
      <c r="BC53" s="490">
        <v>1.0966301533314062</v>
      </c>
      <c r="BD53" s="489">
        <v>1724</v>
      </c>
      <c r="BE53" s="490">
        <v>1.0299116450508683</v>
      </c>
      <c r="BF53" s="489">
        <v>1114</v>
      </c>
      <c r="BG53" s="486">
        <f>+(BF53/$BF$79)*100</f>
        <v>0.6296250452860922</v>
      </c>
      <c r="BH53" s="454">
        <v>796</v>
      </c>
      <c r="BI53" s="486">
        <f>+(BH53/$BH$79)*100</f>
        <v>0.41898640031202911</v>
      </c>
      <c r="BJ53" s="491">
        <v>688</v>
      </c>
      <c r="BK53" s="486">
        <f>+(BJ53/$BJ$79)*100</f>
        <v>0.36337976988764803</v>
      </c>
      <c r="BL53" s="484">
        <v>602</v>
      </c>
      <c r="BM53" s="486">
        <f>+(BL53/$BL$79)*100</f>
        <v>0.31376571499753209</v>
      </c>
      <c r="BN53" s="491">
        <v>578</v>
      </c>
      <c r="BO53" s="486">
        <f>+(BN53/$BN$79)*100</f>
        <v>0.29465051288560729</v>
      </c>
      <c r="BP53" s="454">
        <v>554</v>
      </c>
      <c r="BQ53" s="486">
        <f t="shared" si="5"/>
        <v>0.27625824660785792</v>
      </c>
      <c r="BR53" s="454">
        <v>496</v>
      </c>
      <c r="BS53" s="492">
        <v>2.5000000000000001E-3</v>
      </c>
      <c r="BT53" s="367"/>
      <c r="BU53" s="367"/>
      <c r="BV53" s="367"/>
      <c r="BW53" s="367"/>
      <c r="BX53" s="367"/>
      <c r="BY53" s="454"/>
      <c r="BZ53" s="454"/>
      <c r="CA53" s="454"/>
      <c r="CB53" s="455"/>
      <c r="CC53" s="455"/>
      <c r="CD53" s="455"/>
      <c r="CE53" s="455"/>
      <c r="CF53" s="455"/>
      <c r="CG53" s="455"/>
      <c r="CH53" s="455"/>
      <c r="CI53" s="455"/>
      <c r="CJ53" s="455"/>
      <c r="CK53" s="455"/>
      <c r="CL53" s="455"/>
      <c r="CM53" s="455"/>
    </row>
    <row r="54" spans="1:91" ht="15.75" hidden="1">
      <c r="B54" s="378" t="s">
        <v>334</v>
      </c>
      <c r="C54" s="379"/>
      <c r="D54" s="370">
        <v>55</v>
      </c>
      <c r="E54" s="370"/>
      <c r="F54" s="370">
        <v>51</v>
      </c>
      <c r="G54" s="370"/>
      <c r="H54" s="368">
        <v>47</v>
      </c>
      <c r="I54" s="368"/>
      <c r="J54" s="368">
        <v>42</v>
      </c>
      <c r="L54" s="494">
        <v>38</v>
      </c>
      <c r="N54" s="444">
        <v>36</v>
      </c>
      <c r="P54" s="495">
        <v>25</v>
      </c>
      <c r="R54" s="495">
        <v>21</v>
      </c>
      <c r="T54" s="495">
        <v>20</v>
      </c>
      <c r="U54" s="495">
        <v>18</v>
      </c>
      <c r="V54" s="495">
        <v>17</v>
      </c>
      <c r="W54" s="495">
        <v>14</v>
      </c>
      <c r="X54" s="495">
        <v>14</v>
      </c>
      <c r="Y54" s="495">
        <v>14</v>
      </c>
      <c r="Z54" s="468"/>
      <c r="AA54" s="444">
        <v>14</v>
      </c>
      <c r="AB54" s="378">
        <v>14</v>
      </c>
      <c r="AC54" s="369">
        <v>12909</v>
      </c>
      <c r="AD54" s="369">
        <v>12902</v>
      </c>
      <c r="AE54" s="369">
        <v>13489.36170212766</v>
      </c>
      <c r="AF54" s="369">
        <v>13786</v>
      </c>
      <c r="AG54" s="502">
        <v>14526</v>
      </c>
      <c r="AH54" s="444">
        <v>15028</v>
      </c>
      <c r="AI54" s="495">
        <v>15280</v>
      </c>
      <c r="AJ54" s="495">
        <v>15428.571428571429</v>
      </c>
      <c r="AK54" s="495">
        <v>14550</v>
      </c>
      <c r="AL54" s="495">
        <v>13888.888888888889</v>
      </c>
      <c r="AM54" s="495">
        <v>13000</v>
      </c>
      <c r="AN54" s="495">
        <v>14571.428571428571</v>
      </c>
      <c r="AO54" s="495">
        <v>14214</v>
      </c>
      <c r="AP54" s="495">
        <v>13214</v>
      </c>
      <c r="AQ54" s="496"/>
      <c r="AS54" s="378" t="s">
        <v>334</v>
      </c>
      <c r="AT54" s="444">
        <v>710</v>
      </c>
      <c r="AU54" s="477">
        <v>0.45720320428611905</v>
      </c>
      <c r="AV54" s="444">
        <v>658</v>
      </c>
      <c r="AW54" s="477">
        <v>0.42725608093191175</v>
      </c>
      <c r="AX54" s="479">
        <v>634</v>
      </c>
      <c r="AY54" s="477">
        <v>0.40617332197243916</v>
      </c>
      <c r="AZ54" s="368">
        <v>579</v>
      </c>
      <c r="BA54" s="363">
        <v>0.36817540155918149</v>
      </c>
      <c r="BB54" s="497">
        <v>552</v>
      </c>
      <c r="BC54" s="475">
        <v>0.33950636266906126</v>
      </c>
      <c r="BD54" s="497">
        <v>541</v>
      </c>
      <c r="BE54" s="498">
        <v>0.32319153130656597</v>
      </c>
      <c r="BF54" s="497">
        <v>382</v>
      </c>
      <c r="BG54" s="499">
        <f>+(BF54/$BF$79)*100</f>
        <v>0.21590374084316627</v>
      </c>
      <c r="BH54" s="446">
        <v>291</v>
      </c>
      <c r="BI54" s="499">
        <f>+(BH54/$BH$79)*100</f>
        <v>0.15317216393316643</v>
      </c>
      <c r="BJ54" s="444">
        <v>250</v>
      </c>
      <c r="BK54" s="499">
        <f>+(BJ54/$BJ$79)*100</f>
        <v>0.13204206754638373</v>
      </c>
      <c r="BL54" s="495">
        <v>221</v>
      </c>
      <c r="BM54" s="499">
        <f>+(BL54/$BL$79)*100</f>
        <v>0.11518641696753255</v>
      </c>
      <c r="BN54" s="444">
        <v>204</v>
      </c>
      <c r="BO54" s="499">
        <f>+(BN54/$BN$79)*100</f>
        <v>0.10399429866550845</v>
      </c>
      <c r="BP54" s="446">
        <v>199</v>
      </c>
      <c r="BQ54" s="499">
        <f t="shared" si="5"/>
        <v>9.9233557897046423E-2</v>
      </c>
      <c r="BR54" s="446">
        <v>185</v>
      </c>
      <c r="BS54" s="500">
        <v>8.9999999999999998E-4</v>
      </c>
      <c r="BT54" s="367"/>
      <c r="BU54" s="367"/>
      <c r="BV54" s="367"/>
      <c r="BW54" s="367"/>
      <c r="BX54" s="367"/>
      <c r="BY54" s="367"/>
      <c r="BZ54" s="367"/>
      <c r="CA54" s="446"/>
    </row>
    <row r="55" spans="1:91" ht="15.75" hidden="1">
      <c r="B55" s="378" t="s">
        <v>335</v>
      </c>
      <c r="C55" s="379"/>
      <c r="D55" s="370">
        <v>60</v>
      </c>
      <c r="E55" s="370"/>
      <c r="F55" s="370">
        <v>56</v>
      </c>
      <c r="G55" s="370"/>
      <c r="H55" s="368">
        <v>53</v>
      </c>
      <c r="I55" s="368"/>
      <c r="J55" s="368">
        <v>45</v>
      </c>
      <c r="L55" s="494">
        <v>42</v>
      </c>
      <c r="N55" s="444">
        <v>39</v>
      </c>
      <c r="P55" s="495">
        <v>22</v>
      </c>
      <c r="R55" s="495">
        <v>17</v>
      </c>
      <c r="T55" s="495">
        <v>15</v>
      </c>
      <c r="U55" s="495">
        <v>13</v>
      </c>
      <c r="V55" s="495">
        <v>12</v>
      </c>
      <c r="W55" s="495">
        <v>12</v>
      </c>
      <c r="X55" s="495">
        <v>10</v>
      </c>
      <c r="Y55" s="495">
        <v>9</v>
      </c>
      <c r="Z55" s="468"/>
      <c r="AA55" s="444">
        <v>12</v>
      </c>
      <c r="AB55" s="378">
        <v>10</v>
      </c>
      <c r="AC55" s="369">
        <v>12150</v>
      </c>
      <c r="AD55" s="369">
        <v>12054</v>
      </c>
      <c r="AE55" s="369">
        <v>11981</v>
      </c>
      <c r="AF55" s="369">
        <v>12000</v>
      </c>
      <c r="AG55" s="502">
        <v>12381</v>
      </c>
      <c r="AH55" s="444">
        <v>12436</v>
      </c>
      <c r="AI55" s="495">
        <v>13545.454545454544</v>
      </c>
      <c r="AJ55" s="495">
        <v>12941.176470588236</v>
      </c>
      <c r="AK55" s="495">
        <v>12400</v>
      </c>
      <c r="AL55" s="495">
        <v>12692.307692307691</v>
      </c>
      <c r="AM55" s="495">
        <v>12583.333333333334</v>
      </c>
      <c r="AN55" s="495">
        <v>11833.333333333334</v>
      </c>
      <c r="AO55" s="495">
        <v>13300</v>
      </c>
      <c r="AP55" s="495">
        <v>11667</v>
      </c>
      <c r="AQ55" s="496"/>
      <c r="AS55" s="378" t="s">
        <v>335</v>
      </c>
      <c r="AT55" s="444">
        <v>729</v>
      </c>
      <c r="AU55" s="477">
        <v>0.46943821961208559</v>
      </c>
      <c r="AV55" s="444">
        <v>675</v>
      </c>
      <c r="AW55" s="477">
        <v>0.43829461189823771</v>
      </c>
      <c r="AX55" s="479">
        <v>635</v>
      </c>
      <c r="AY55" s="477">
        <v>0.40681397389984048</v>
      </c>
      <c r="AZ55" s="368">
        <v>540</v>
      </c>
      <c r="BA55" s="363">
        <v>0.34337602217954749</v>
      </c>
      <c r="BB55" s="497">
        <v>520</v>
      </c>
      <c r="BC55" s="475">
        <v>0.31982483439839104</v>
      </c>
      <c r="BD55" s="497">
        <v>485</v>
      </c>
      <c r="BE55" s="498">
        <v>0.28973732473878838</v>
      </c>
      <c r="BF55" s="497">
        <v>298</v>
      </c>
      <c r="BG55" s="499">
        <f>+(BF55/$BF$79)*100</f>
        <v>0.16842752557922394</v>
      </c>
      <c r="BH55" s="446">
        <v>186</v>
      </c>
      <c r="BI55" s="499">
        <f>+(BH55/$BH$79)*100</f>
        <v>9.7903857359343496E-2</v>
      </c>
      <c r="BJ55" s="444">
        <v>165</v>
      </c>
      <c r="BK55" s="499">
        <f>+(BJ55/$BJ$79)*100</f>
        <v>8.7147764580613254E-2</v>
      </c>
      <c r="BL55" s="495">
        <v>151</v>
      </c>
      <c r="BM55" s="499">
        <f>+(BL55/$BL$79)*100</f>
        <v>7.8702031502703232E-2</v>
      </c>
      <c r="BN55" s="444">
        <v>142</v>
      </c>
      <c r="BO55" s="499">
        <f>+(BN55/$BN$79)*100</f>
        <v>7.2388188286775498E-2</v>
      </c>
      <c r="BP55" s="446">
        <v>133</v>
      </c>
      <c r="BQ55" s="499">
        <f t="shared" si="5"/>
        <v>6.6321925629684295E-2</v>
      </c>
      <c r="BR55" s="446">
        <v>105</v>
      </c>
      <c r="BS55" s="500">
        <v>5.0000000000000001E-4</v>
      </c>
      <c r="BT55" s="367"/>
      <c r="BU55" s="367"/>
      <c r="BV55" s="367"/>
      <c r="BW55" s="367"/>
      <c r="BX55" s="367"/>
      <c r="BY55" s="367"/>
      <c r="BZ55" s="367"/>
      <c r="CA55" s="446"/>
    </row>
    <row r="56" spans="1:91" ht="15.75" hidden="1">
      <c r="B56" s="378" t="s">
        <v>336</v>
      </c>
      <c r="C56" s="379"/>
      <c r="D56" s="370">
        <v>76</v>
      </c>
      <c r="E56" s="370"/>
      <c r="F56" s="370">
        <v>69</v>
      </c>
      <c r="G56" s="370"/>
      <c r="H56" s="368">
        <v>66</v>
      </c>
      <c r="I56" s="368"/>
      <c r="J56" s="368">
        <v>63</v>
      </c>
      <c r="L56" s="494">
        <v>61</v>
      </c>
      <c r="N56" s="444">
        <v>58</v>
      </c>
      <c r="P56" s="495">
        <v>35</v>
      </c>
      <c r="R56" s="495">
        <v>29</v>
      </c>
      <c r="T56" s="495">
        <v>26</v>
      </c>
      <c r="U56" s="495">
        <v>23</v>
      </c>
      <c r="V56" s="495">
        <v>20</v>
      </c>
      <c r="W56" s="495">
        <v>18</v>
      </c>
      <c r="X56" s="495">
        <v>17</v>
      </c>
      <c r="Y56" s="495">
        <v>16</v>
      </c>
      <c r="Z56" s="468"/>
      <c r="AA56" s="444">
        <v>18</v>
      </c>
      <c r="AB56" s="378">
        <v>17</v>
      </c>
      <c r="AC56" s="369">
        <v>11908</v>
      </c>
      <c r="AD56" s="369">
        <v>12145</v>
      </c>
      <c r="AE56" s="369">
        <v>12030</v>
      </c>
      <c r="AF56" s="369">
        <v>11921</v>
      </c>
      <c r="AG56" s="502">
        <v>11656</v>
      </c>
      <c r="AH56" s="444">
        <v>12034</v>
      </c>
      <c r="AI56" s="495">
        <v>12400</v>
      </c>
      <c r="AJ56" s="495">
        <v>12034.48275862069</v>
      </c>
      <c r="AK56" s="495">
        <v>12269.23076923077</v>
      </c>
      <c r="AL56" s="495">
        <v>11869.565217391304</v>
      </c>
      <c r="AM56" s="495">
        <v>11500</v>
      </c>
      <c r="AN56" s="495">
        <v>12888.888888888889</v>
      </c>
      <c r="AO56" s="495">
        <v>13059</v>
      </c>
      <c r="AP56" s="495">
        <v>12875</v>
      </c>
      <c r="AQ56" s="496"/>
      <c r="AS56" s="378" t="s">
        <v>336</v>
      </c>
      <c r="AT56" s="444">
        <v>905</v>
      </c>
      <c r="AU56" s="477">
        <v>0.58277309842103908</v>
      </c>
      <c r="AV56" s="444">
        <v>838</v>
      </c>
      <c r="AW56" s="477">
        <v>0.54413464410477519</v>
      </c>
      <c r="AX56" s="479">
        <v>794</v>
      </c>
      <c r="AY56" s="477">
        <v>0.50867763035665092</v>
      </c>
      <c r="AZ56" s="368">
        <v>751</v>
      </c>
      <c r="BA56" s="363">
        <v>0.4775470234385929</v>
      </c>
      <c r="BB56" s="497">
        <v>711</v>
      </c>
      <c r="BC56" s="475">
        <v>0.43729895626395388</v>
      </c>
      <c r="BD56" s="497">
        <v>698</v>
      </c>
      <c r="BE56" s="498">
        <v>0.41698278900551394</v>
      </c>
      <c r="BF56" s="497">
        <v>434</v>
      </c>
      <c r="BG56" s="499">
        <f>+(BF56/$BF$79)*100</f>
        <v>0.24529377886370199</v>
      </c>
      <c r="BH56" s="446">
        <v>319</v>
      </c>
      <c r="BI56" s="499">
        <f>+(BH56/$BH$79)*100</f>
        <v>0.16791037901951919</v>
      </c>
      <c r="BJ56" s="444">
        <v>273</v>
      </c>
      <c r="BK56" s="499">
        <f>+(BJ56/$BJ$79)*100</f>
        <v>0.14418993776065106</v>
      </c>
      <c r="BL56" s="495">
        <v>230</v>
      </c>
      <c r="BM56" s="499">
        <f>+(BL56/$BL$79)*100</f>
        <v>0.11987726652729631</v>
      </c>
      <c r="BN56" s="444">
        <v>232</v>
      </c>
      <c r="BO56" s="499">
        <f>+(BN56/$BN$79)*100</f>
        <v>0.11826802593332335</v>
      </c>
      <c r="BP56" s="446">
        <v>222</v>
      </c>
      <c r="BQ56" s="499">
        <f t="shared" si="5"/>
        <v>0.11070276308112717</v>
      </c>
      <c r="BR56" s="446">
        <v>206</v>
      </c>
      <c r="BS56" s="500">
        <v>1E-3</v>
      </c>
      <c r="BT56" s="367"/>
      <c r="BU56" s="367"/>
      <c r="BV56" s="367"/>
      <c r="BW56" s="367"/>
      <c r="BX56" s="367"/>
      <c r="BY56" s="367"/>
      <c r="BZ56" s="367"/>
      <c r="CA56" s="446"/>
    </row>
    <row r="57" spans="1:91" ht="15.75" hidden="1">
      <c r="B57" s="468"/>
      <c r="C57" s="446"/>
      <c r="D57" s="502"/>
      <c r="E57" s="502"/>
      <c r="F57" s="370"/>
      <c r="G57" s="502"/>
      <c r="H57" s="368"/>
      <c r="I57" s="368"/>
      <c r="J57" s="368"/>
      <c r="L57" s="494"/>
      <c r="P57" s="495"/>
      <c r="R57" s="495"/>
      <c r="T57" s="495"/>
      <c r="U57" s="495"/>
      <c r="V57" s="495"/>
      <c r="W57" s="495"/>
      <c r="X57" s="495"/>
      <c r="Y57" s="495"/>
      <c r="Z57" s="468"/>
      <c r="AB57" s="468"/>
      <c r="AC57" s="369"/>
      <c r="AD57" s="369"/>
      <c r="AE57" s="369"/>
      <c r="AF57" s="369"/>
      <c r="AG57" s="502"/>
      <c r="AI57" s="495"/>
      <c r="AJ57" s="495"/>
      <c r="AK57" s="495"/>
      <c r="AL57" s="495"/>
      <c r="AM57" s="495"/>
      <c r="AN57" s="495"/>
      <c r="AO57" s="495"/>
      <c r="AP57" s="495"/>
      <c r="AQ57" s="496"/>
      <c r="AS57" s="468"/>
      <c r="AU57" s="477"/>
      <c r="AV57" s="444"/>
      <c r="AW57" s="477"/>
      <c r="AX57" s="479"/>
      <c r="AY57" s="477"/>
      <c r="AZ57" s="446"/>
      <c r="BA57" s="363"/>
      <c r="BB57" s="489"/>
      <c r="BC57" s="475"/>
      <c r="BD57" s="489"/>
      <c r="BE57" s="490"/>
      <c r="BF57" s="489"/>
      <c r="BG57" s="477"/>
      <c r="BH57" s="454"/>
      <c r="BI57" s="499"/>
      <c r="BJ57" s="446"/>
      <c r="BK57" s="499"/>
      <c r="BL57" s="495"/>
      <c r="BM57" s="499"/>
      <c r="BN57" s="446"/>
      <c r="BO57" s="499"/>
      <c r="BP57" s="446"/>
      <c r="BQ57" s="499"/>
      <c r="BR57" s="446"/>
      <c r="BS57" s="500"/>
      <c r="BT57" s="367"/>
      <c r="BU57" s="367"/>
      <c r="BV57" s="367"/>
      <c r="BW57" s="446"/>
      <c r="BX57" s="446"/>
      <c r="BY57" s="446"/>
      <c r="BZ57" s="446"/>
      <c r="CA57" s="446"/>
    </row>
    <row r="58" spans="1:91" ht="16.149999999999999" hidden="1" customHeight="1">
      <c r="A58" s="480" t="s">
        <v>337</v>
      </c>
      <c r="B58" s="468"/>
      <c r="C58" s="446"/>
      <c r="D58" s="365">
        <v>496</v>
      </c>
      <c r="E58" s="365"/>
      <c r="F58" s="365">
        <v>491</v>
      </c>
      <c r="G58" s="365"/>
      <c r="H58" s="482">
        <v>470</v>
      </c>
      <c r="I58" s="482"/>
      <c r="J58" s="482">
        <v>444</v>
      </c>
      <c r="L58" s="505">
        <v>437</v>
      </c>
      <c r="N58" s="505">
        <v>439</v>
      </c>
      <c r="P58" s="484">
        <v>403</v>
      </c>
      <c r="Q58" s="505"/>
      <c r="R58" s="484">
        <v>458</v>
      </c>
      <c r="S58" s="505"/>
      <c r="T58" s="484">
        <v>482</v>
      </c>
      <c r="U58" s="484">
        <v>482</v>
      </c>
      <c r="V58" s="484">
        <v>469</v>
      </c>
      <c r="W58" s="484">
        <v>484</v>
      </c>
      <c r="X58" s="484">
        <v>484</v>
      </c>
      <c r="Y58" s="484">
        <v>482</v>
      </c>
      <c r="Z58" s="468"/>
      <c r="AA58" s="480">
        <v>484</v>
      </c>
      <c r="AB58" s="468">
        <v>484</v>
      </c>
      <c r="AC58" s="364">
        <v>14931.451612903225</v>
      </c>
      <c r="AD58" s="364">
        <v>15000</v>
      </c>
      <c r="AE58" s="364">
        <v>14929.787234042553</v>
      </c>
      <c r="AF58" s="364">
        <v>15407.657657657659</v>
      </c>
      <c r="AG58" s="365">
        <v>15718.535469107552</v>
      </c>
      <c r="AH58" s="455">
        <v>16075.170842824602</v>
      </c>
      <c r="AI58" s="484">
        <v>19057.071960297766</v>
      </c>
      <c r="AJ58" s="484">
        <v>18620.087336244542</v>
      </c>
      <c r="AK58" s="484">
        <v>19661.82572614108</v>
      </c>
      <c r="AL58" s="484">
        <v>20419.087136929458</v>
      </c>
      <c r="AM58" s="484">
        <v>20795.309168443495</v>
      </c>
      <c r="AN58" s="484">
        <v>21704.545454545452</v>
      </c>
      <c r="AO58" s="484">
        <v>21581</v>
      </c>
      <c r="AP58" s="484">
        <v>21577</v>
      </c>
      <c r="AQ58" s="485"/>
      <c r="AR58" s="480" t="s">
        <v>337</v>
      </c>
      <c r="AS58" s="481"/>
      <c r="AT58" s="455">
        <v>7406</v>
      </c>
      <c r="AU58" s="486">
        <v>4.7690801844267572</v>
      </c>
      <c r="AV58" s="455">
        <v>7365</v>
      </c>
      <c r="AW58" s="486">
        <v>4.7822812098229939</v>
      </c>
      <c r="AX58" s="487">
        <v>7017</v>
      </c>
      <c r="AY58" s="486">
        <v>4.4954545745750876</v>
      </c>
      <c r="AZ58" s="488">
        <v>6841</v>
      </c>
      <c r="BA58" s="366">
        <v>4.350065495796823</v>
      </c>
      <c r="BB58" s="489">
        <v>6869</v>
      </c>
      <c r="BC58" s="490">
        <v>4.2247630528510536</v>
      </c>
      <c r="BD58" s="489">
        <v>7057</v>
      </c>
      <c r="BE58" s="490">
        <v>4.215827424085834</v>
      </c>
      <c r="BF58" s="489">
        <v>7680</v>
      </c>
      <c r="BG58" s="486">
        <f>+(BF58/$BF$79)*100</f>
        <v>4.3406825384175836</v>
      </c>
      <c r="BH58" s="454">
        <v>9477</v>
      </c>
      <c r="BI58" s="486">
        <f>+(BH58/$BH$79)*100</f>
        <v>4.9883594419059039</v>
      </c>
      <c r="BJ58" s="491">
        <v>9842</v>
      </c>
      <c r="BK58" s="486">
        <f>+(BJ58/$BJ$79)*100</f>
        <v>5.1982321151660349</v>
      </c>
      <c r="BL58" s="484">
        <v>9753</v>
      </c>
      <c r="BM58" s="486">
        <f>+(BL58/$BL$79)*100</f>
        <v>5.0833173062640045</v>
      </c>
      <c r="BN58" s="491">
        <v>10505</v>
      </c>
      <c r="BO58" s="486">
        <f>+(BN58/$BN$79)*100</f>
        <v>5.3551966052998345</v>
      </c>
      <c r="BP58" s="454">
        <v>10445</v>
      </c>
      <c r="BQ58" s="486">
        <f t="shared" si="5"/>
        <v>5.2085151368575371</v>
      </c>
      <c r="BR58" s="454">
        <v>10400</v>
      </c>
      <c r="BS58" s="492">
        <v>5.1700000000000003E-2</v>
      </c>
      <c r="BT58" s="367"/>
      <c r="BU58" s="367"/>
      <c r="BV58" s="367"/>
      <c r="BW58" s="367"/>
      <c r="BX58" s="367"/>
      <c r="BY58" s="454"/>
      <c r="BZ58" s="367"/>
      <c r="CA58" s="454"/>
      <c r="CB58" s="455"/>
      <c r="CC58" s="455"/>
      <c r="CD58" s="455"/>
      <c r="CE58" s="455"/>
      <c r="CF58" s="455"/>
      <c r="CG58" s="455"/>
      <c r="CH58" s="455"/>
      <c r="CI58" s="455"/>
      <c r="CJ58" s="455"/>
      <c r="CK58" s="455"/>
      <c r="CL58" s="455"/>
      <c r="CM58" s="455"/>
    </row>
    <row r="59" spans="1:91" ht="15.75" hidden="1">
      <c r="B59" s="378" t="s">
        <v>338</v>
      </c>
      <c r="C59" s="379"/>
      <c r="D59" s="370">
        <v>95</v>
      </c>
      <c r="E59" s="370"/>
      <c r="F59" s="370">
        <v>94</v>
      </c>
      <c r="G59" s="370"/>
      <c r="H59" s="368">
        <v>92</v>
      </c>
      <c r="I59" s="368"/>
      <c r="J59" s="368">
        <v>92</v>
      </c>
      <c r="L59" s="494">
        <v>92</v>
      </c>
      <c r="N59" s="444">
        <v>91</v>
      </c>
      <c r="P59" s="495">
        <v>75</v>
      </c>
      <c r="R59" s="495">
        <v>69</v>
      </c>
      <c r="T59" s="495">
        <v>64</v>
      </c>
      <c r="U59" s="495">
        <v>59</v>
      </c>
      <c r="V59" s="495">
        <v>56</v>
      </c>
      <c r="W59" s="495">
        <v>53</v>
      </c>
      <c r="X59" s="495">
        <v>48</v>
      </c>
      <c r="Y59" s="495">
        <v>45</v>
      </c>
      <c r="Z59" s="468"/>
      <c r="AA59" s="444">
        <v>53</v>
      </c>
      <c r="AB59" s="378">
        <v>48</v>
      </c>
      <c r="AC59" s="369">
        <v>13611</v>
      </c>
      <c r="AD59" s="369">
        <v>13245</v>
      </c>
      <c r="AE59" s="369">
        <v>13576</v>
      </c>
      <c r="AF59" s="369">
        <v>13435</v>
      </c>
      <c r="AG59" s="502">
        <v>13576</v>
      </c>
      <c r="AH59" s="444">
        <v>14440</v>
      </c>
      <c r="AI59" s="495">
        <v>18721.925133689841</v>
      </c>
      <c r="AJ59" s="495">
        <v>19421.81818181818</v>
      </c>
      <c r="AK59" s="495">
        <v>19262.295081967215</v>
      </c>
      <c r="AL59" s="495">
        <v>19359.633027522934</v>
      </c>
      <c r="AM59" s="495">
        <v>19746.765249537893</v>
      </c>
      <c r="AN59" s="495">
        <v>19495.378927911275</v>
      </c>
      <c r="AO59" s="495">
        <v>17688</v>
      </c>
      <c r="AP59" s="495">
        <v>17556</v>
      </c>
      <c r="AQ59" s="496"/>
      <c r="AS59" s="378" t="s">
        <v>338</v>
      </c>
      <c r="AT59" s="444">
        <v>1293</v>
      </c>
      <c r="AU59" s="477">
        <v>0.83262499034077742</v>
      </c>
      <c r="AV59" s="444">
        <v>1245</v>
      </c>
      <c r="AW59" s="477">
        <v>0.80841006194563847</v>
      </c>
      <c r="AX59" s="479">
        <v>1249</v>
      </c>
      <c r="AY59" s="477">
        <v>0.80017425732425318</v>
      </c>
      <c r="AZ59" s="368">
        <v>1236</v>
      </c>
      <c r="BA59" s="363">
        <v>0.78594956187763099</v>
      </c>
      <c r="BB59" s="497">
        <v>1249</v>
      </c>
      <c r="BC59" s="475">
        <v>0.76819465031459688</v>
      </c>
      <c r="BD59" s="497">
        <v>1314</v>
      </c>
      <c r="BE59" s="498">
        <v>0.78497906125106787</v>
      </c>
      <c r="BF59" s="497">
        <v>1236</v>
      </c>
      <c r="BG59" s="499">
        <f t="shared" ref="BG59:BG70" si="16">+(BF59/$BF$79)*100</f>
        <v>0.6985785960265799</v>
      </c>
      <c r="BH59" s="446">
        <v>1061</v>
      </c>
      <c r="BI59" s="499">
        <f>+(BH59/$BH$79)*100</f>
        <v>0.5584730788078679</v>
      </c>
      <c r="BJ59" s="444">
        <v>1002</v>
      </c>
      <c r="BK59" s="499">
        <f>+(BJ59/$BJ$79)*100</f>
        <v>0.52922460672590599</v>
      </c>
      <c r="BL59" s="495">
        <v>950</v>
      </c>
      <c r="BM59" s="499">
        <f>+(BL59/$BL$79)*100</f>
        <v>0.49514523130839783</v>
      </c>
      <c r="BN59" s="444">
        <v>923</v>
      </c>
      <c r="BO59" s="499">
        <f>+(BN59/$BN$79)*100</f>
        <v>0.47052322386404072</v>
      </c>
      <c r="BP59" s="446">
        <v>849</v>
      </c>
      <c r="BQ59" s="499">
        <f t="shared" si="5"/>
        <v>0.42336326962106746</v>
      </c>
      <c r="BR59" s="446">
        <v>790</v>
      </c>
      <c r="BS59" s="500">
        <v>3.8999999999999998E-3</v>
      </c>
      <c r="BT59" s="367"/>
      <c r="BU59" s="367"/>
      <c r="BV59" s="367"/>
      <c r="BW59" s="367"/>
      <c r="BX59" s="367"/>
      <c r="BY59" s="367"/>
      <c r="BZ59" s="367"/>
      <c r="CA59" s="446"/>
    </row>
    <row r="60" spans="1:91" ht="15.75" hidden="1">
      <c r="B60" s="378" t="s">
        <v>339</v>
      </c>
      <c r="C60" s="379"/>
      <c r="D60" s="370">
        <v>401</v>
      </c>
      <c r="E60" s="370"/>
      <c r="F60" s="370">
        <v>397</v>
      </c>
      <c r="G60" s="370"/>
      <c r="H60" s="368">
        <v>378</v>
      </c>
      <c r="I60" s="368"/>
      <c r="J60" s="368">
        <v>352</v>
      </c>
      <c r="L60" s="494">
        <v>345</v>
      </c>
      <c r="N60" s="444">
        <v>348</v>
      </c>
      <c r="P60" s="495">
        <v>328</v>
      </c>
      <c r="R60" s="495">
        <v>389</v>
      </c>
      <c r="T60" s="495">
        <v>418</v>
      </c>
      <c r="U60" s="495">
        <v>423</v>
      </c>
      <c r="V60" s="495">
        <v>413</v>
      </c>
      <c r="W60" s="495">
        <v>431</v>
      </c>
      <c r="X60" s="495">
        <v>436</v>
      </c>
      <c r="Y60" s="495">
        <v>437</v>
      </c>
      <c r="Z60" s="468"/>
      <c r="AA60" s="444">
        <v>431</v>
      </c>
      <c r="AB60" s="378">
        <v>436</v>
      </c>
      <c r="AC60" s="369">
        <v>15244</v>
      </c>
      <c r="AD60" s="369">
        <v>15416</v>
      </c>
      <c r="AE60" s="369">
        <v>15259</v>
      </c>
      <c r="AF60" s="369">
        <v>15923</v>
      </c>
      <c r="AG60" s="502">
        <v>16290</v>
      </c>
      <c r="AH60" s="444">
        <v>16503</v>
      </c>
      <c r="AI60" s="495">
        <v>18468.53146853147</v>
      </c>
      <c r="AJ60" s="495">
        <v>18078.571428571428</v>
      </c>
      <c r="AK60" s="495">
        <v>18400</v>
      </c>
      <c r="AL60" s="495">
        <v>18288.888888888887</v>
      </c>
      <c r="AM60" s="495">
        <v>18411.764705882353</v>
      </c>
      <c r="AN60" s="495">
        <v>18940.298507462685</v>
      </c>
      <c r="AO60" s="495">
        <v>22009</v>
      </c>
      <c r="AP60" s="495">
        <v>21991</v>
      </c>
      <c r="AQ60" s="496"/>
      <c r="AS60" s="378" t="s">
        <v>339</v>
      </c>
      <c r="AT60" s="444">
        <v>6113</v>
      </c>
      <c r="AU60" s="477">
        <v>3.9364551940859798</v>
      </c>
      <c r="AV60" s="444">
        <v>6120</v>
      </c>
      <c r="AW60" s="477">
        <v>3.9738711478773556</v>
      </c>
      <c r="AX60" s="479">
        <v>5768</v>
      </c>
      <c r="AY60" s="477">
        <v>3.6952803172508344</v>
      </c>
      <c r="AZ60" s="368">
        <v>5605</v>
      </c>
      <c r="BA60" s="363">
        <v>3.5641159339191923</v>
      </c>
      <c r="BB60" s="497">
        <v>5620</v>
      </c>
      <c r="BC60" s="475">
        <v>3.4565684025364569</v>
      </c>
      <c r="BD60" s="497">
        <v>5743</v>
      </c>
      <c r="BE60" s="498">
        <v>3.4308483628347659</v>
      </c>
      <c r="BF60" s="497">
        <v>6444</v>
      </c>
      <c r="BG60" s="499">
        <f t="shared" si="16"/>
        <v>3.6421039423910035</v>
      </c>
      <c r="BH60" s="446">
        <v>8416</v>
      </c>
      <c r="BI60" s="499">
        <f>+(BH60/$BH$79)*100</f>
        <v>4.4298863630980359</v>
      </c>
      <c r="BJ60" s="444">
        <v>8840</v>
      </c>
      <c r="BK60" s="499">
        <f>+(BJ60/$BJ$79)*100</f>
        <v>4.6690075084401288</v>
      </c>
      <c r="BL60" s="495">
        <v>8803</v>
      </c>
      <c r="BM60" s="499">
        <f>+(BL60/$BL$79)*100</f>
        <v>4.5881720749556063</v>
      </c>
      <c r="BN60" s="444">
        <v>9582</v>
      </c>
      <c r="BO60" s="499">
        <f>+(BN60/$BN$79)*100</f>
        <v>4.8846733814357934</v>
      </c>
      <c r="BP60" s="446">
        <v>9596</v>
      </c>
      <c r="BQ60" s="499">
        <f t="shared" si="5"/>
        <v>4.7851518672364701</v>
      </c>
      <c r="BR60" s="446">
        <v>9610</v>
      </c>
      <c r="BS60" s="500">
        <v>4.7800000000000002E-2</v>
      </c>
      <c r="BT60" s="367"/>
      <c r="BU60" s="367"/>
      <c r="BV60" s="367"/>
      <c r="BW60" s="367"/>
      <c r="BX60" s="367"/>
      <c r="BY60" s="367"/>
      <c r="BZ60" s="367"/>
      <c r="CA60" s="446"/>
    </row>
    <row r="61" spans="1:91" ht="15.75" hidden="1">
      <c r="B61" s="468"/>
      <c r="C61" s="446"/>
      <c r="D61" s="502"/>
      <c r="E61" s="502"/>
      <c r="F61" s="370"/>
      <c r="G61" s="502"/>
      <c r="H61" s="368"/>
      <c r="I61" s="368"/>
      <c r="J61" s="368"/>
      <c r="L61" s="494"/>
      <c r="P61" s="495"/>
      <c r="R61" s="495"/>
      <c r="T61" s="495"/>
      <c r="U61" s="495"/>
      <c r="V61" s="495"/>
      <c r="W61" s="495"/>
      <c r="X61" s="495"/>
      <c r="Y61" s="495"/>
      <c r="Z61" s="468"/>
      <c r="AB61" s="468"/>
      <c r="AC61" s="369"/>
      <c r="AD61" s="369"/>
      <c r="AE61" s="369"/>
      <c r="AF61" s="369"/>
      <c r="AG61" s="502"/>
      <c r="AI61" s="495"/>
      <c r="AJ61" s="495"/>
      <c r="AK61" s="495"/>
      <c r="AL61" s="495"/>
      <c r="AM61" s="495"/>
      <c r="AN61" s="495"/>
      <c r="AO61" s="495"/>
      <c r="AP61" s="495"/>
      <c r="AQ61" s="496"/>
      <c r="AS61" s="468"/>
      <c r="AU61" s="477"/>
      <c r="AV61" s="444"/>
      <c r="AW61" s="477"/>
      <c r="AX61" s="479"/>
      <c r="AY61" s="477"/>
      <c r="AZ61" s="446"/>
      <c r="BA61" s="363"/>
      <c r="BB61" s="489"/>
      <c r="BC61" s="475"/>
      <c r="BD61" s="489"/>
      <c r="BE61" s="490"/>
      <c r="BF61" s="489"/>
      <c r="BG61" s="499"/>
      <c r="BH61" s="454"/>
      <c r="BI61" s="499"/>
      <c r="BJ61" s="446"/>
      <c r="BK61" s="499"/>
      <c r="BL61" s="495"/>
      <c r="BM61" s="499"/>
      <c r="BN61" s="446"/>
      <c r="BO61" s="499"/>
      <c r="BP61" s="446"/>
      <c r="BQ61" s="499"/>
      <c r="BR61" s="446"/>
      <c r="BS61" s="500"/>
      <c r="BT61" s="367"/>
      <c r="BU61" s="367"/>
      <c r="BV61" s="367"/>
      <c r="BW61" s="446"/>
      <c r="BX61" s="446"/>
      <c r="BY61" s="446"/>
      <c r="BZ61" s="446"/>
      <c r="CA61" s="446"/>
    </row>
    <row r="62" spans="1:91" ht="16.149999999999999" customHeight="1">
      <c r="A62" s="480" t="s">
        <v>340</v>
      </c>
      <c r="B62" s="468"/>
      <c r="C62" s="446"/>
      <c r="D62" s="365">
        <v>758.6</v>
      </c>
      <c r="E62" s="365"/>
      <c r="F62" s="365">
        <v>798.6</v>
      </c>
      <c r="G62" s="365"/>
      <c r="H62" s="482">
        <v>827.6</v>
      </c>
      <c r="I62" s="482"/>
      <c r="J62" s="365">
        <v>863.1</v>
      </c>
      <c r="L62" s="483">
        <v>909</v>
      </c>
      <c r="N62" s="483">
        <v>970.6</v>
      </c>
      <c r="P62" s="484">
        <v>1188.9000000000001</v>
      </c>
      <c r="Q62" s="483"/>
      <c r="R62" s="484">
        <v>1281.0999999999999</v>
      </c>
      <c r="S62" s="483"/>
      <c r="T62" s="484">
        <v>1337</v>
      </c>
      <c r="U62" s="484">
        <v>1307.5</v>
      </c>
      <c r="V62" s="484">
        <v>1314</v>
      </c>
      <c r="W62" s="484">
        <v>1360</v>
      </c>
      <c r="X62" s="484">
        <v>1372</v>
      </c>
      <c r="Y62" s="484">
        <v>1364</v>
      </c>
      <c r="Z62" s="468"/>
      <c r="AA62" s="480">
        <v>1360</v>
      </c>
      <c r="AB62" s="468">
        <v>1371</v>
      </c>
      <c r="AC62" s="364">
        <v>18343.000263643553</v>
      </c>
      <c r="AD62" s="364">
        <v>18791.635361883295</v>
      </c>
      <c r="AE62" s="364">
        <v>19264.137264378929</v>
      </c>
      <c r="AF62" s="364">
        <v>19550.457652647434</v>
      </c>
      <c r="AG62" s="365">
        <v>20124.312431243121</v>
      </c>
      <c r="AH62" s="455">
        <v>20598.59880486297</v>
      </c>
      <c r="AI62" s="484">
        <v>21742.703339221131</v>
      </c>
      <c r="AJ62" s="484">
        <v>22251.970962454143</v>
      </c>
      <c r="AK62" s="484">
        <v>22623.560209424086</v>
      </c>
      <c r="AL62" s="484">
        <v>22753.881453154874</v>
      </c>
      <c r="AM62" s="484">
        <v>23104.946727549468</v>
      </c>
      <c r="AN62" s="484">
        <v>23367.720588235294</v>
      </c>
      <c r="AO62" s="484">
        <v>23724</v>
      </c>
      <c r="AP62" s="484">
        <v>23757</v>
      </c>
      <c r="AQ62" s="485"/>
      <c r="AR62" s="480" t="s">
        <v>340</v>
      </c>
      <c r="AS62" s="481"/>
      <c r="AT62" s="455">
        <v>13915</v>
      </c>
      <c r="AU62" s="486">
        <v>8.9605388558328833</v>
      </c>
      <c r="AV62" s="455">
        <v>15007</v>
      </c>
      <c r="AW62" s="486">
        <v>9.7444255418620056</v>
      </c>
      <c r="AX62" s="487">
        <v>15943</v>
      </c>
      <c r="AY62" s="486">
        <v>10.213913678559303</v>
      </c>
      <c r="AZ62" s="488">
        <v>16874</v>
      </c>
      <c r="BA62" s="366">
        <v>10.729864811588305</v>
      </c>
      <c r="BB62" s="489">
        <v>18293</v>
      </c>
      <c r="BC62" s="490">
        <v>11.251068645480322</v>
      </c>
      <c r="BD62" s="489">
        <v>19993</v>
      </c>
      <c r="BE62" s="490">
        <v>11.943749141242465</v>
      </c>
      <c r="BF62" s="489">
        <v>25849.9</v>
      </c>
      <c r="BG62" s="486">
        <f>+(BF62/$BF$79)*100</f>
        <v>14.610183535135507</v>
      </c>
      <c r="BH62" s="454">
        <v>30247.7</v>
      </c>
      <c r="BI62" s="486">
        <f t="shared" ref="BI62:BI70" si="17">+(BH62/$BH$79)*100</f>
        <v>15.921325302409754</v>
      </c>
      <c r="BJ62" s="491">
        <v>29750.7</v>
      </c>
      <c r="BK62" s="486">
        <f t="shared" ref="BK62:BK70" si="18">+(BJ62/$BJ$79)*100</f>
        <v>15.713375755808794</v>
      </c>
      <c r="BL62" s="484">
        <v>30359.9</v>
      </c>
      <c r="BM62" s="486">
        <f t="shared" ref="BM62:BM70" si="19">+(BL62/$BL$79)*100</f>
        <v>15.823747061052451</v>
      </c>
      <c r="BN62" s="491">
        <v>31780.1</v>
      </c>
      <c r="BO62" s="486">
        <f t="shared" ref="BO62:BO70" si="20">+(BN62/$BN$79)*100</f>
        <v>16.20073142656728</v>
      </c>
      <c r="BP62" s="454">
        <v>32550</v>
      </c>
      <c r="BQ62" s="486">
        <f t="shared" si="5"/>
        <v>16.231418640949052</v>
      </c>
      <c r="BR62" s="454">
        <v>32405</v>
      </c>
      <c r="BS62" s="492">
        <v>0.161</v>
      </c>
      <c r="BT62" s="367"/>
      <c r="BU62" s="367"/>
      <c r="BV62" s="367"/>
      <c r="BW62" s="367"/>
      <c r="BX62" s="367"/>
      <c r="BY62" s="454"/>
      <c r="BZ62" s="367"/>
      <c r="CA62" s="454"/>
      <c r="CB62" s="455"/>
      <c r="CC62" s="455"/>
      <c r="CD62" s="455"/>
      <c r="CE62" s="455"/>
      <c r="CF62" s="455"/>
      <c r="CG62" s="455"/>
      <c r="CH62" s="455"/>
      <c r="CI62" s="455"/>
      <c r="CJ62" s="455"/>
      <c r="CK62" s="455"/>
      <c r="CL62" s="455"/>
      <c r="CM62" s="455"/>
    </row>
    <row r="63" spans="1:91" ht="15.75">
      <c r="B63" s="378" t="s">
        <v>28</v>
      </c>
      <c r="C63" s="379"/>
      <c r="D63" s="370">
        <v>21</v>
      </c>
      <c r="E63" s="370"/>
      <c r="F63" s="370">
        <v>20</v>
      </c>
      <c r="G63" s="370"/>
      <c r="H63" s="368">
        <v>19</v>
      </c>
      <c r="I63" s="368"/>
      <c r="J63" s="368">
        <v>18</v>
      </c>
      <c r="L63" s="494">
        <v>18</v>
      </c>
      <c r="N63" s="444">
        <v>19</v>
      </c>
      <c r="P63" s="495">
        <v>19</v>
      </c>
      <c r="R63" s="495">
        <v>18</v>
      </c>
      <c r="T63" s="495">
        <v>17</v>
      </c>
      <c r="U63" s="495">
        <v>15</v>
      </c>
      <c r="V63" s="495">
        <v>14</v>
      </c>
      <c r="W63" s="495">
        <v>14</v>
      </c>
      <c r="X63" s="495">
        <v>14</v>
      </c>
      <c r="Y63" s="495">
        <v>14</v>
      </c>
      <c r="Z63" s="468"/>
      <c r="AA63" s="444">
        <v>14</v>
      </c>
      <c r="AB63" s="378">
        <v>14</v>
      </c>
      <c r="AC63" s="369">
        <v>15000</v>
      </c>
      <c r="AD63" s="369">
        <v>15350</v>
      </c>
      <c r="AE63" s="369">
        <v>15526.315789473685</v>
      </c>
      <c r="AF63" s="369">
        <v>16167</v>
      </c>
      <c r="AG63" s="444">
        <v>16833</v>
      </c>
      <c r="AH63" s="444">
        <v>17789</v>
      </c>
      <c r="AI63" s="495">
        <v>19578.94736842105</v>
      </c>
      <c r="AJ63" s="495">
        <v>18500</v>
      </c>
      <c r="AK63" s="495">
        <v>18411.764705882353</v>
      </c>
      <c r="AL63" s="495">
        <v>19933.333333333332</v>
      </c>
      <c r="AM63" s="495">
        <v>20285.714285714286</v>
      </c>
      <c r="AN63" s="495">
        <v>20571.428571428572</v>
      </c>
      <c r="AO63" s="495">
        <v>21357</v>
      </c>
      <c r="AP63" s="495">
        <v>21286</v>
      </c>
      <c r="AQ63" s="496"/>
      <c r="AS63" s="378" t="s">
        <v>28</v>
      </c>
      <c r="AT63" s="444">
        <v>315</v>
      </c>
      <c r="AU63" s="477">
        <v>0.20284367514102464</v>
      </c>
      <c r="AV63" s="444">
        <v>307</v>
      </c>
      <c r="AW63" s="477">
        <v>0.19934288274482811</v>
      </c>
      <c r="AX63" s="479">
        <v>295</v>
      </c>
      <c r="AY63" s="477">
        <v>0.18899231858339047</v>
      </c>
      <c r="AZ63" s="368">
        <v>291</v>
      </c>
      <c r="BA63" s="363">
        <v>0.18504152306342284</v>
      </c>
      <c r="BB63" s="497">
        <v>303</v>
      </c>
      <c r="BC63" s="475">
        <v>0.18635947081290863</v>
      </c>
      <c r="BD63" s="497">
        <v>338</v>
      </c>
      <c r="BE63" s="498">
        <v>0.20192003249837209</v>
      </c>
      <c r="BF63" s="497">
        <v>372</v>
      </c>
      <c r="BG63" s="499">
        <f t="shared" si="16"/>
        <v>0.2102518104546017</v>
      </c>
      <c r="BH63" s="446">
        <v>313</v>
      </c>
      <c r="BI63" s="499">
        <f t="shared" si="17"/>
        <v>0.1647521900724436</v>
      </c>
      <c r="BJ63" s="444">
        <v>299</v>
      </c>
      <c r="BK63" s="499">
        <f t="shared" si="18"/>
        <v>0.15792231278547494</v>
      </c>
      <c r="BL63" s="495">
        <v>284</v>
      </c>
      <c r="BM63" s="499">
        <f t="shared" si="19"/>
        <v>0.14802236388587894</v>
      </c>
      <c r="BN63" s="444">
        <v>288</v>
      </c>
      <c r="BO63" s="499">
        <f t="shared" si="20"/>
        <v>0.1468154804689531</v>
      </c>
      <c r="BP63" s="446">
        <v>299</v>
      </c>
      <c r="BQ63" s="499">
        <f t="shared" si="5"/>
        <v>0.14909966739304967</v>
      </c>
      <c r="BR63" s="446">
        <v>298</v>
      </c>
      <c r="BS63" s="500">
        <v>1.5E-3</v>
      </c>
      <c r="BT63" s="367"/>
      <c r="BU63" s="367"/>
      <c r="BV63" s="367"/>
      <c r="BW63" s="367"/>
      <c r="BX63" s="367"/>
      <c r="BY63" s="367"/>
      <c r="BZ63" s="367"/>
      <c r="CA63" s="446"/>
    </row>
    <row r="64" spans="1:91" ht="15.75">
      <c r="B64" s="378" t="s">
        <v>4</v>
      </c>
      <c r="C64" s="379"/>
      <c r="D64" s="370">
        <v>232</v>
      </c>
      <c r="E64" s="370"/>
      <c r="F64" s="370">
        <v>256</v>
      </c>
      <c r="G64" s="370"/>
      <c r="H64" s="368">
        <v>272</v>
      </c>
      <c r="I64" s="368"/>
      <c r="J64" s="368">
        <v>292</v>
      </c>
      <c r="L64" s="494">
        <v>318</v>
      </c>
      <c r="N64" s="444">
        <v>347</v>
      </c>
      <c r="P64" s="495">
        <v>455</v>
      </c>
      <c r="R64" s="495">
        <v>513</v>
      </c>
      <c r="T64" s="495">
        <v>549</v>
      </c>
      <c r="U64" s="495">
        <v>550</v>
      </c>
      <c r="V64" s="495">
        <v>564</v>
      </c>
      <c r="W64" s="495">
        <v>578</v>
      </c>
      <c r="X64" s="495">
        <v>580</v>
      </c>
      <c r="Y64" s="495">
        <v>573</v>
      </c>
      <c r="Z64" s="468"/>
      <c r="AA64" s="444">
        <v>578</v>
      </c>
      <c r="AB64" s="378">
        <v>580</v>
      </c>
      <c r="AC64" s="369">
        <v>18147</v>
      </c>
      <c r="AD64" s="369">
        <v>18496</v>
      </c>
      <c r="AE64" s="369">
        <v>19091.911764705885</v>
      </c>
      <c r="AF64" s="369">
        <v>19743</v>
      </c>
      <c r="AG64" s="444">
        <v>20292</v>
      </c>
      <c r="AH64" s="444">
        <v>20816</v>
      </c>
      <c r="AI64" s="495">
        <v>22331.86813186813</v>
      </c>
      <c r="AJ64" s="495">
        <v>22512.670565302145</v>
      </c>
      <c r="AK64" s="495">
        <v>22431.693989071038</v>
      </c>
      <c r="AL64" s="495">
        <v>22090.909090909088</v>
      </c>
      <c r="AM64" s="495">
        <v>22599.290780141844</v>
      </c>
      <c r="AN64" s="495">
        <v>22934.256055363319</v>
      </c>
      <c r="AO64" s="495">
        <v>23376</v>
      </c>
      <c r="AP64" s="495">
        <v>23440</v>
      </c>
      <c r="AQ64" s="496"/>
      <c r="AS64" s="378" t="s">
        <v>4</v>
      </c>
      <c r="AT64" s="444">
        <v>4210</v>
      </c>
      <c r="AU64" s="477">
        <v>2.7110218169641707</v>
      </c>
      <c r="AV64" s="444">
        <v>4735</v>
      </c>
      <c r="AW64" s="477">
        <v>3.0745555367972677</v>
      </c>
      <c r="AX64" s="479">
        <v>5193</v>
      </c>
      <c r="AY64" s="477">
        <v>3.3269054589950735</v>
      </c>
      <c r="AZ64" s="368">
        <v>5765</v>
      </c>
      <c r="BA64" s="363">
        <v>3.6658569775279468</v>
      </c>
      <c r="BB64" s="497">
        <v>6453</v>
      </c>
      <c r="BC64" s="475">
        <v>3.9689031853323411</v>
      </c>
      <c r="BD64" s="497">
        <v>7223</v>
      </c>
      <c r="BE64" s="498">
        <v>4.3149952506974607</v>
      </c>
      <c r="BF64" s="497">
        <v>10161</v>
      </c>
      <c r="BG64" s="499">
        <f t="shared" si="16"/>
        <v>5.7429264678204515</v>
      </c>
      <c r="BH64" s="446">
        <v>12315</v>
      </c>
      <c r="BI64" s="499">
        <f t="shared" si="17"/>
        <v>6.4821828138726616</v>
      </c>
      <c r="BJ64" s="444">
        <v>12150</v>
      </c>
      <c r="BK64" s="499">
        <f t="shared" si="18"/>
        <v>6.4172444827542492</v>
      </c>
      <c r="BL64" s="495">
        <v>12746</v>
      </c>
      <c r="BM64" s="499">
        <f t="shared" si="19"/>
        <v>6.6432853876387785</v>
      </c>
      <c r="BN64" s="444">
        <v>13256</v>
      </c>
      <c r="BO64" s="499">
        <f t="shared" si="20"/>
        <v>6.757590309362647</v>
      </c>
      <c r="BP64" s="446">
        <v>13558</v>
      </c>
      <c r="BQ64" s="499">
        <f t="shared" si="5"/>
        <v>6.7608471254681186</v>
      </c>
      <c r="BR64" s="446">
        <v>13431</v>
      </c>
      <c r="BS64" s="500">
        <v>6.6699999999999995E-2</v>
      </c>
      <c r="BT64" s="367"/>
      <c r="BU64" s="367"/>
      <c r="BV64" s="367"/>
      <c r="BW64" s="367"/>
      <c r="BX64" s="367"/>
      <c r="BY64" s="367"/>
      <c r="BZ64" s="367"/>
      <c r="CA64" s="446"/>
    </row>
    <row r="65" spans="1:92" ht="15.75" hidden="1">
      <c r="B65" s="378" t="s">
        <v>341</v>
      </c>
      <c r="C65" s="379"/>
      <c r="D65" s="372">
        <v>6.6</v>
      </c>
      <c r="E65" s="372"/>
      <c r="F65" s="372">
        <v>6.6</v>
      </c>
      <c r="G65" s="372"/>
      <c r="H65" s="372">
        <v>6.6</v>
      </c>
      <c r="I65" s="372"/>
      <c r="J65" s="372">
        <v>6.1</v>
      </c>
      <c r="L65" s="373">
        <v>6</v>
      </c>
      <c r="N65" s="374">
        <v>5.6</v>
      </c>
      <c r="O65" s="374"/>
      <c r="P65" s="495">
        <v>4.9000000000000004</v>
      </c>
      <c r="Q65" s="374"/>
      <c r="R65" s="495">
        <v>7.1</v>
      </c>
      <c r="S65" s="368"/>
      <c r="T65" s="495">
        <v>7</v>
      </c>
      <c r="U65" s="495">
        <v>5.5</v>
      </c>
      <c r="V65" s="495">
        <v>6</v>
      </c>
      <c r="W65" s="495">
        <v>6</v>
      </c>
      <c r="X65" s="495">
        <v>5.5</v>
      </c>
      <c r="Y65" s="495">
        <v>6</v>
      </c>
      <c r="Z65" s="468"/>
      <c r="AA65" s="444">
        <v>6</v>
      </c>
      <c r="AB65" s="378">
        <v>6</v>
      </c>
      <c r="AC65" s="369">
        <v>13197</v>
      </c>
      <c r="AD65" s="369">
        <v>13394</v>
      </c>
      <c r="AE65" s="369">
        <v>12697</v>
      </c>
      <c r="AF65" s="369">
        <v>13082</v>
      </c>
      <c r="AG65" s="444">
        <v>13300</v>
      </c>
      <c r="AH65" s="444">
        <v>13571</v>
      </c>
      <c r="AI65" s="495">
        <v>14877.551020408162</v>
      </c>
      <c r="AJ65" s="495">
        <v>18873.239436619719</v>
      </c>
      <c r="AK65" s="495">
        <v>19385.714285714283</v>
      </c>
      <c r="AL65" s="495">
        <v>19036.363636363636</v>
      </c>
      <c r="AM65" s="495">
        <v>19816.666666666668</v>
      </c>
      <c r="AN65" s="495">
        <v>20516.666666666664</v>
      </c>
      <c r="AO65" s="495">
        <v>20650</v>
      </c>
      <c r="AP65" s="495">
        <v>21367</v>
      </c>
      <c r="AQ65" s="496"/>
      <c r="AS65" s="378" t="s">
        <v>341</v>
      </c>
      <c r="AT65" s="444">
        <v>87</v>
      </c>
      <c r="AU65" s="477">
        <v>5.6023491229425855E-2</v>
      </c>
      <c r="AV65" s="444">
        <v>88</v>
      </c>
      <c r="AW65" s="477">
        <v>5.714063088451099E-2</v>
      </c>
      <c r="AX65" s="479">
        <v>84</v>
      </c>
      <c r="AY65" s="477">
        <v>5.3814761901711181E-2</v>
      </c>
      <c r="AZ65" s="368">
        <v>80</v>
      </c>
      <c r="BA65" s="363">
        <v>5.0870521804377407E-2</v>
      </c>
      <c r="BB65" s="497">
        <v>80</v>
      </c>
      <c r="BC65" s="475">
        <v>4.9203820676675544E-2</v>
      </c>
      <c r="BD65" s="497">
        <v>76</v>
      </c>
      <c r="BE65" s="498">
        <v>4.5402137484841065E-2</v>
      </c>
      <c r="BF65" s="497">
        <v>72.900000000000006</v>
      </c>
      <c r="BG65" s="499">
        <f t="shared" si="16"/>
        <v>4.1202572532635658E-2</v>
      </c>
      <c r="BH65" s="446">
        <v>135.69999999999999</v>
      </c>
      <c r="BI65" s="499">
        <f t="shared" si="17"/>
        <v>7.1427706686359727E-2</v>
      </c>
      <c r="BJ65" s="444">
        <v>104.7</v>
      </c>
      <c r="BK65" s="499">
        <f t="shared" si="18"/>
        <v>5.5299217888425505E-2</v>
      </c>
      <c r="BL65" s="495">
        <v>118.9</v>
      </c>
      <c r="BM65" s="499">
        <f t="shared" si="19"/>
        <v>6.1971334739545789E-2</v>
      </c>
      <c r="BN65" s="444">
        <v>123.1</v>
      </c>
      <c r="BO65" s="499">
        <f t="shared" si="20"/>
        <v>6.2753422381000443E-2</v>
      </c>
      <c r="BP65" s="446">
        <v>124</v>
      </c>
      <c r="BQ65" s="499">
        <f t="shared" si="5"/>
        <v>6.1833975775044007E-2</v>
      </c>
      <c r="BR65" s="446">
        <v>128</v>
      </c>
      <c r="BS65" s="500">
        <v>5.9999999999999995E-4</v>
      </c>
      <c r="BT65" s="367"/>
      <c r="BU65" s="367"/>
      <c r="BV65" s="367"/>
      <c r="BW65" s="367"/>
      <c r="BX65" s="367"/>
      <c r="BY65" s="367"/>
      <c r="BZ65" s="367"/>
      <c r="CA65" s="446"/>
    </row>
    <row r="66" spans="1:92" ht="15.75" hidden="1">
      <c r="B66" s="378" t="s">
        <v>342</v>
      </c>
      <c r="C66" s="379"/>
      <c r="D66" s="370">
        <v>83</v>
      </c>
      <c r="E66" s="370"/>
      <c r="F66" s="370">
        <v>84</v>
      </c>
      <c r="G66" s="370"/>
      <c r="H66" s="368">
        <v>84</v>
      </c>
      <c r="I66" s="368"/>
      <c r="J66" s="368">
        <v>83</v>
      </c>
      <c r="L66" s="494">
        <v>83</v>
      </c>
      <c r="N66" s="444">
        <v>89</v>
      </c>
      <c r="P66" s="495">
        <v>104</v>
      </c>
      <c r="R66" s="495">
        <v>118</v>
      </c>
      <c r="T66" s="495">
        <v>128</v>
      </c>
      <c r="U66" s="495">
        <v>123</v>
      </c>
      <c r="V66" s="495">
        <v>119</v>
      </c>
      <c r="W66" s="495">
        <v>128</v>
      </c>
      <c r="X66" s="495">
        <v>134</v>
      </c>
      <c r="Y66" s="495">
        <v>137</v>
      </c>
      <c r="Z66" s="468"/>
      <c r="AA66" s="444">
        <v>128</v>
      </c>
      <c r="AB66" s="378">
        <v>134</v>
      </c>
      <c r="AC66" s="369">
        <v>18687</v>
      </c>
      <c r="AD66" s="369">
        <v>19440.476190476191</v>
      </c>
      <c r="AE66" s="369">
        <v>19988.095238095237</v>
      </c>
      <c r="AF66" s="369">
        <v>20349</v>
      </c>
      <c r="AG66" s="444">
        <v>20819</v>
      </c>
      <c r="AH66" s="444">
        <v>21618</v>
      </c>
      <c r="AI66" s="495">
        <v>22576.923076923078</v>
      </c>
      <c r="AJ66" s="495">
        <v>22932.203389830509</v>
      </c>
      <c r="AK66" s="495">
        <v>22929.6875</v>
      </c>
      <c r="AL66" s="495">
        <v>23081.300813008133</v>
      </c>
      <c r="AM66" s="495">
        <v>23403.361344537814</v>
      </c>
      <c r="AN66" s="495">
        <v>23429.6875</v>
      </c>
      <c r="AO66" s="495">
        <v>23978</v>
      </c>
      <c r="AP66" s="495">
        <v>24248</v>
      </c>
      <c r="AQ66" s="496"/>
      <c r="AS66" s="378" t="s">
        <v>342</v>
      </c>
      <c r="AT66" s="444">
        <v>1551</v>
      </c>
      <c r="AU66" s="477">
        <v>0.99876361950390236</v>
      </c>
      <c r="AV66" s="444">
        <v>1633</v>
      </c>
      <c r="AW66" s="477">
        <v>1.060348298118255</v>
      </c>
      <c r="AX66" s="479">
        <v>1679</v>
      </c>
      <c r="AY66" s="477">
        <v>1.0756545861068223</v>
      </c>
      <c r="AZ66" s="368">
        <v>1689</v>
      </c>
      <c r="BA66" s="363">
        <v>1.0740038915949179</v>
      </c>
      <c r="BB66" s="497">
        <v>1728</v>
      </c>
      <c r="BC66" s="475">
        <v>1.0628025266161918</v>
      </c>
      <c r="BD66" s="497">
        <v>1924</v>
      </c>
      <c r="BE66" s="498">
        <v>1.1493909542215026</v>
      </c>
      <c r="BF66" s="497">
        <v>2348</v>
      </c>
      <c r="BG66" s="499">
        <f t="shared" si="16"/>
        <v>1.3270732552349591</v>
      </c>
      <c r="BH66" s="446">
        <v>2935</v>
      </c>
      <c r="BI66" s="499">
        <f t="shared" si="17"/>
        <v>1.5448807599444792</v>
      </c>
      <c r="BJ66" s="444">
        <v>2839</v>
      </c>
      <c r="BK66" s="499">
        <f t="shared" si="18"/>
        <v>1.4994697190567337</v>
      </c>
      <c r="BL66" s="495">
        <v>2785</v>
      </c>
      <c r="BM66" s="499">
        <f t="shared" si="19"/>
        <v>1.4515573359935663</v>
      </c>
      <c r="BN66" s="444">
        <v>2999</v>
      </c>
      <c r="BO66" s="499">
        <f t="shared" si="20"/>
        <v>1.5288181455777443</v>
      </c>
      <c r="BP66" s="446">
        <v>3213</v>
      </c>
      <c r="BQ66" s="499">
        <f t="shared" si="5"/>
        <v>1.6021980981065838</v>
      </c>
      <c r="BR66" s="446">
        <v>3322</v>
      </c>
      <c r="BS66" s="500">
        <v>1.6500000000000001E-2</v>
      </c>
      <c r="BT66" s="367"/>
      <c r="BU66" s="367"/>
      <c r="BV66" s="367"/>
      <c r="BW66" s="367"/>
      <c r="BX66" s="367"/>
      <c r="BY66" s="367"/>
      <c r="BZ66" s="367"/>
      <c r="CA66" s="446"/>
    </row>
    <row r="67" spans="1:92" ht="15.75" hidden="1">
      <c r="B67" s="378" t="s">
        <v>343</v>
      </c>
      <c r="C67" s="379"/>
      <c r="D67" s="370">
        <v>191</v>
      </c>
      <c r="E67" s="370"/>
      <c r="F67" s="370">
        <v>195</v>
      </c>
      <c r="G67" s="370"/>
      <c r="H67" s="368">
        <v>202</v>
      </c>
      <c r="I67" s="368"/>
      <c r="J67" s="368">
        <v>217</v>
      </c>
      <c r="L67" s="494">
        <v>232</v>
      </c>
      <c r="N67" s="444">
        <v>250</v>
      </c>
      <c r="P67" s="495">
        <v>328</v>
      </c>
      <c r="R67" s="495">
        <v>332</v>
      </c>
      <c r="T67" s="495">
        <v>338</v>
      </c>
      <c r="U67" s="495">
        <v>325</v>
      </c>
      <c r="V67" s="495">
        <v>321</v>
      </c>
      <c r="W67" s="495">
        <v>329</v>
      </c>
      <c r="X67" s="495">
        <v>330</v>
      </c>
      <c r="Y67" s="495">
        <v>323</v>
      </c>
      <c r="Z67" s="468"/>
      <c r="AA67" s="444">
        <v>329</v>
      </c>
      <c r="AB67" s="378">
        <v>330</v>
      </c>
      <c r="AC67" s="369">
        <v>18969</v>
      </c>
      <c r="AD67" s="369">
        <v>19246.153846153844</v>
      </c>
      <c r="AE67" s="369">
        <v>19856.435643564357</v>
      </c>
      <c r="AF67" s="369">
        <v>20065</v>
      </c>
      <c r="AG67" s="444">
        <v>20362</v>
      </c>
      <c r="AH67" s="444">
        <v>20944</v>
      </c>
      <c r="AI67" s="495">
        <v>21192.073170731706</v>
      </c>
      <c r="AJ67" s="495">
        <v>21957.831325301202</v>
      </c>
      <c r="AK67" s="495">
        <v>23269.23076923077</v>
      </c>
      <c r="AL67" s="495">
        <v>24320</v>
      </c>
      <c r="AM67" s="495">
        <v>24392.52336448598</v>
      </c>
      <c r="AN67" s="495">
        <v>24854.103343465045</v>
      </c>
      <c r="AO67" s="495">
        <v>24694</v>
      </c>
      <c r="AP67" s="495">
        <v>24944</v>
      </c>
      <c r="AQ67" s="496"/>
      <c r="AS67" s="378" t="s">
        <v>343</v>
      </c>
      <c r="AT67" s="444">
        <v>3623</v>
      </c>
      <c r="AU67" s="477">
        <v>2.3330242382093087</v>
      </c>
      <c r="AV67" s="444">
        <v>3753</v>
      </c>
      <c r="AW67" s="477">
        <v>2.4369180421542018</v>
      </c>
      <c r="AX67" s="479">
        <v>4011</v>
      </c>
      <c r="AY67" s="477">
        <v>2.5696548808067088</v>
      </c>
      <c r="AZ67" s="368">
        <v>4354</v>
      </c>
      <c r="BA67" s="363">
        <v>2.7686281492032405</v>
      </c>
      <c r="BB67" s="497">
        <v>4724</v>
      </c>
      <c r="BC67" s="475">
        <v>2.9054856109576908</v>
      </c>
      <c r="BD67" s="497">
        <v>5236</v>
      </c>
      <c r="BE67" s="498">
        <v>3.1279683140872079</v>
      </c>
      <c r="BF67" s="497">
        <v>6951</v>
      </c>
      <c r="BG67" s="499">
        <f t="shared" si="16"/>
        <v>3.9286568130912269</v>
      </c>
      <c r="BH67" s="446">
        <v>7865</v>
      </c>
      <c r="BI67" s="499">
        <f t="shared" si="17"/>
        <v>4.1398593447915939</v>
      </c>
      <c r="BJ67" s="444">
        <v>7904</v>
      </c>
      <c r="BK67" s="499">
        <f t="shared" si="18"/>
        <v>4.1746420075464679</v>
      </c>
      <c r="BL67" s="495">
        <v>7830</v>
      </c>
      <c r="BM67" s="499">
        <f t="shared" si="19"/>
        <v>4.0810391169944786</v>
      </c>
      <c r="BN67" s="444">
        <v>8177</v>
      </c>
      <c r="BO67" s="499">
        <f t="shared" si="20"/>
        <v>4.1684381381757971</v>
      </c>
      <c r="BP67" s="446">
        <v>8149</v>
      </c>
      <c r="BQ67" s="499">
        <f t="shared" si="5"/>
        <v>4.0635892628293036</v>
      </c>
      <c r="BR67" s="446">
        <v>8057</v>
      </c>
      <c r="BS67" s="500">
        <v>0.04</v>
      </c>
      <c r="BT67" s="367"/>
      <c r="BU67" s="367"/>
      <c r="BV67" s="367"/>
      <c r="BW67" s="367"/>
      <c r="BX67" s="367"/>
      <c r="BY67" s="367"/>
      <c r="BZ67" s="367"/>
      <c r="CA67" s="446"/>
    </row>
    <row r="68" spans="1:92" ht="15.75" hidden="1">
      <c r="B68" s="378" t="s">
        <v>344</v>
      </c>
      <c r="C68" s="379"/>
      <c r="D68" s="370">
        <v>113</v>
      </c>
      <c r="E68" s="370"/>
      <c r="F68" s="370">
        <v>121</v>
      </c>
      <c r="G68" s="370"/>
      <c r="H68" s="368">
        <v>127</v>
      </c>
      <c r="I68" s="368"/>
      <c r="J68" s="368">
        <v>131</v>
      </c>
      <c r="L68" s="494">
        <v>134</v>
      </c>
      <c r="N68" s="444">
        <v>139</v>
      </c>
      <c r="P68" s="495">
        <v>165</v>
      </c>
      <c r="R68" s="495">
        <v>181</v>
      </c>
      <c r="T68" s="495">
        <v>186</v>
      </c>
      <c r="U68" s="495">
        <v>177</v>
      </c>
      <c r="V68" s="495">
        <v>177</v>
      </c>
      <c r="W68" s="495">
        <v>188</v>
      </c>
      <c r="X68" s="495">
        <v>188</v>
      </c>
      <c r="Y68" s="495">
        <v>190</v>
      </c>
      <c r="Z68" s="468"/>
      <c r="AA68" s="444">
        <v>188</v>
      </c>
      <c r="AB68" s="378">
        <v>188</v>
      </c>
      <c r="AC68" s="369">
        <v>19735</v>
      </c>
      <c r="AD68" s="369">
        <v>20446.280991735537</v>
      </c>
      <c r="AE68" s="369">
        <v>20976.377952755905</v>
      </c>
      <c r="AF68" s="369">
        <v>20458</v>
      </c>
      <c r="AG68" s="444">
        <v>21873</v>
      </c>
      <c r="AH68" s="444">
        <v>21820</v>
      </c>
      <c r="AI68" s="495">
        <v>22678.78787878788</v>
      </c>
      <c r="AJ68" s="495">
        <v>23259.668508287294</v>
      </c>
      <c r="AK68" s="495">
        <v>23381.720430107529</v>
      </c>
      <c r="AL68" s="495">
        <v>23028.248587570622</v>
      </c>
      <c r="AM68" s="495">
        <v>23367.231638418081</v>
      </c>
      <c r="AN68" s="495">
        <v>23468.08510638298</v>
      </c>
      <c r="AO68" s="495">
        <v>23979</v>
      </c>
      <c r="AP68" s="495">
        <v>23626</v>
      </c>
      <c r="AQ68" s="496"/>
      <c r="AS68" s="378" t="s">
        <v>344</v>
      </c>
      <c r="AT68" s="444">
        <v>2230</v>
      </c>
      <c r="AU68" s="477">
        <v>1.4360044303634443</v>
      </c>
      <c r="AV68" s="444">
        <v>2474</v>
      </c>
      <c r="AW68" s="477">
        <v>1.6064309182759113</v>
      </c>
      <c r="AX68" s="479">
        <v>2664</v>
      </c>
      <c r="AY68" s="477">
        <v>1.706696734597126</v>
      </c>
      <c r="AZ68" s="368">
        <v>2680</v>
      </c>
      <c r="BA68" s="363">
        <v>1.7041624804466431</v>
      </c>
      <c r="BB68" s="497">
        <v>2931</v>
      </c>
      <c r="BC68" s="475">
        <v>1.8027049800417003</v>
      </c>
      <c r="BD68" s="497">
        <v>3033</v>
      </c>
      <c r="BE68" s="498">
        <v>1.8119037235726703</v>
      </c>
      <c r="BF68" s="497">
        <v>3742</v>
      </c>
      <c r="BG68" s="499">
        <f t="shared" si="16"/>
        <v>2.1149523514008588</v>
      </c>
      <c r="BH68" s="446">
        <v>4349</v>
      </c>
      <c r="BI68" s="499">
        <f t="shared" si="17"/>
        <v>2.2891606218052947</v>
      </c>
      <c r="BJ68" s="444">
        <v>4076</v>
      </c>
      <c r="BK68" s="499">
        <f t="shared" si="18"/>
        <v>2.1528138692762404</v>
      </c>
      <c r="BL68" s="495">
        <v>4136</v>
      </c>
      <c r="BM68" s="499">
        <f t="shared" si="19"/>
        <v>2.1557059754647718</v>
      </c>
      <c r="BN68" s="444">
        <v>4412</v>
      </c>
      <c r="BO68" s="499">
        <f t="shared" si="20"/>
        <v>2.2491315966285454</v>
      </c>
      <c r="BP68" s="446">
        <v>4508</v>
      </c>
      <c r="BQ68" s="499">
        <f t="shared" si="5"/>
        <v>2.2479642160798257</v>
      </c>
      <c r="BR68" s="446">
        <v>4489</v>
      </c>
      <c r="BS68" s="500">
        <v>2.23E-2</v>
      </c>
      <c r="BT68" s="367"/>
      <c r="BU68" s="367"/>
      <c r="BV68" s="367"/>
      <c r="BW68" s="367"/>
      <c r="BX68" s="367"/>
      <c r="BY68" s="367"/>
      <c r="BZ68" s="367"/>
      <c r="CA68" s="446"/>
    </row>
    <row r="69" spans="1:92" ht="15.75" hidden="1">
      <c r="B69" s="378" t="s">
        <v>345</v>
      </c>
      <c r="C69" s="379"/>
      <c r="D69" s="370">
        <v>88</v>
      </c>
      <c r="E69" s="370"/>
      <c r="F69" s="370">
        <v>91</v>
      </c>
      <c r="G69" s="370"/>
      <c r="H69" s="368">
        <v>91</v>
      </c>
      <c r="I69" s="368"/>
      <c r="J69" s="368">
        <v>90</v>
      </c>
      <c r="L69" s="494">
        <v>93</v>
      </c>
      <c r="N69" s="444">
        <v>96</v>
      </c>
      <c r="P69" s="495">
        <v>88</v>
      </c>
      <c r="R69" s="495">
        <v>85</v>
      </c>
      <c r="T69" s="495">
        <v>85</v>
      </c>
      <c r="U69" s="495">
        <v>84</v>
      </c>
      <c r="V69" s="495">
        <v>85</v>
      </c>
      <c r="W69" s="495">
        <v>88</v>
      </c>
      <c r="X69" s="495">
        <v>91</v>
      </c>
      <c r="Y69" s="495">
        <v>92</v>
      </c>
      <c r="Z69" s="468"/>
      <c r="AA69" s="444">
        <v>88</v>
      </c>
      <c r="AB69" s="378">
        <v>90</v>
      </c>
      <c r="AC69" s="369">
        <v>16739</v>
      </c>
      <c r="AD69" s="369">
        <v>17000</v>
      </c>
      <c r="AE69" s="369">
        <v>16923.076923076922</v>
      </c>
      <c r="AF69" s="369">
        <v>16811</v>
      </c>
      <c r="AG69" s="444">
        <v>17398</v>
      </c>
      <c r="AH69" s="444">
        <v>17573</v>
      </c>
      <c r="AI69" s="495">
        <v>18875</v>
      </c>
      <c r="AJ69" s="495">
        <v>20376.470588235294</v>
      </c>
      <c r="AK69" s="495">
        <v>20894.117647058825</v>
      </c>
      <c r="AL69" s="495">
        <v>21035.714285714286</v>
      </c>
      <c r="AM69" s="495">
        <v>21270.588235294115</v>
      </c>
      <c r="AN69" s="495">
        <v>21068.181818181816</v>
      </c>
      <c r="AO69" s="495">
        <v>22341</v>
      </c>
      <c r="AP69" s="495">
        <v>22130</v>
      </c>
      <c r="AQ69" s="496"/>
      <c r="AS69" s="378" t="s">
        <v>345</v>
      </c>
      <c r="AT69" s="444">
        <v>1473</v>
      </c>
      <c r="AU69" s="477">
        <v>0.94853566184993432</v>
      </c>
      <c r="AV69" s="444">
        <v>1547</v>
      </c>
      <c r="AW69" s="477">
        <v>1.0045063179356648</v>
      </c>
      <c r="AX69" s="479">
        <v>1540</v>
      </c>
      <c r="AY69" s="477">
        <v>0.98660396819803831</v>
      </c>
      <c r="AZ69" s="368">
        <v>1513</v>
      </c>
      <c r="BA69" s="363">
        <v>0.96208874362528773</v>
      </c>
      <c r="BB69" s="497">
        <v>1618</v>
      </c>
      <c r="BC69" s="475">
        <v>0.9951472731857629</v>
      </c>
      <c r="BD69" s="497">
        <v>1687</v>
      </c>
      <c r="BE69" s="498">
        <v>1.007807972854301</v>
      </c>
      <c r="BF69" s="497">
        <v>1661</v>
      </c>
      <c r="BG69" s="499">
        <f t="shared" si="16"/>
        <v>0.93878563754057376</v>
      </c>
      <c r="BH69" s="446">
        <v>1776</v>
      </c>
      <c r="BI69" s="499">
        <f t="shared" si="17"/>
        <v>0.93482392833437644</v>
      </c>
      <c r="BJ69" s="444">
        <v>1767</v>
      </c>
      <c r="BK69" s="499">
        <f t="shared" si="18"/>
        <v>0.93327333341784025</v>
      </c>
      <c r="BL69" s="495">
        <v>1808</v>
      </c>
      <c r="BM69" s="499">
        <f t="shared" si="19"/>
        <v>0.94233955600587715</v>
      </c>
      <c r="BN69" s="444">
        <v>1854</v>
      </c>
      <c r="BO69" s="499">
        <f t="shared" si="20"/>
        <v>0.94512465551888569</v>
      </c>
      <c r="BP69" s="446">
        <v>2033</v>
      </c>
      <c r="BQ69" s="499">
        <f t="shared" si="5"/>
        <v>1.0137780060537458</v>
      </c>
      <c r="BR69" s="446">
        <v>2036</v>
      </c>
      <c r="BS69" s="500">
        <v>1.01E-2</v>
      </c>
      <c r="BT69" s="367"/>
      <c r="BU69" s="367"/>
      <c r="BV69" s="367"/>
      <c r="BW69" s="367"/>
      <c r="BX69" s="367"/>
      <c r="BY69" s="367"/>
      <c r="BZ69" s="367"/>
      <c r="CA69" s="446"/>
    </row>
    <row r="70" spans="1:92" ht="15.75" hidden="1">
      <c r="B70" s="378" t="s">
        <v>346</v>
      </c>
      <c r="C70" s="379"/>
      <c r="D70" s="368">
        <v>24</v>
      </c>
      <c r="E70" s="368"/>
      <c r="F70" s="370">
        <v>25</v>
      </c>
      <c r="G70" s="375"/>
      <c r="H70" s="368">
        <v>26</v>
      </c>
      <c r="I70" s="368"/>
      <c r="J70" s="368">
        <v>26</v>
      </c>
      <c r="L70" s="494">
        <v>25</v>
      </c>
      <c r="N70" s="444">
        <v>25</v>
      </c>
      <c r="P70" s="495">
        <v>25</v>
      </c>
      <c r="R70" s="495">
        <v>27</v>
      </c>
      <c r="T70" s="495">
        <v>27</v>
      </c>
      <c r="U70" s="495">
        <v>28</v>
      </c>
      <c r="V70" s="495">
        <v>28</v>
      </c>
      <c r="W70" s="495">
        <v>29</v>
      </c>
      <c r="X70" s="495">
        <v>29</v>
      </c>
      <c r="Y70" s="495">
        <v>29</v>
      </c>
      <c r="Z70" s="468"/>
      <c r="AA70" s="444">
        <v>29</v>
      </c>
      <c r="AB70" s="378">
        <v>29</v>
      </c>
      <c r="AC70" s="369">
        <v>18128</v>
      </c>
      <c r="AD70" s="369">
        <v>18800</v>
      </c>
      <c r="AE70" s="369">
        <v>18346.153846153848</v>
      </c>
      <c r="AF70" s="369">
        <v>19350</v>
      </c>
      <c r="AG70" s="444">
        <v>18200</v>
      </c>
      <c r="AH70" s="444">
        <v>19000</v>
      </c>
      <c r="AI70" s="495">
        <v>21680</v>
      </c>
      <c r="AJ70" s="495">
        <v>20481.481481481482</v>
      </c>
      <c r="AK70" s="495">
        <v>20703.703703703701</v>
      </c>
      <c r="AL70" s="495">
        <v>21821.428571428572</v>
      </c>
      <c r="AM70" s="495">
        <v>23285.714285714286</v>
      </c>
      <c r="AN70" s="495">
        <v>23137.931034482757</v>
      </c>
      <c r="AO70" s="495">
        <v>22966</v>
      </c>
      <c r="AP70" s="495">
        <v>22207</v>
      </c>
      <c r="AQ70" s="496"/>
      <c r="AS70" s="378" t="s">
        <v>346</v>
      </c>
      <c r="AT70" s="444">
        <v>426</v>
      </c>
      <c r="AU70" s="477">
        <v>0.27432192257167143</v>
      </c>
      <c r="AV70" s="444">
        <v>470</v>
      </c>
      <c r="AW70" s="477">
        <v>0.30518291495136551</v>
      </c>
      <c r="AX70" s="479">
        <v>477</v>
      </c>
      <c r="AY70" s="477">
        <v>0.30559096937043134</v>
      </c>
      <c r="AZ70" s="368">
        <v>502</v>
      </c>
      <c r="BA70" s="363">
        <v>0.31921252432246822</v>
      </c>
      <c r="BB70" s="497">
        <v>456</v>
      </c>
      <c r="BC70" s="475">
        <v>0.28046177785705062</v>
      </c>
      <c r="BD70" s="497">
        <v>476</v>
      </c>
      <c r="BE70" s="498">
        <v>0.28436075582610981</v>
      </c>
      <c r="BF70" s="497">
        <v>542</v>
      </c>
      <c r="BG70" s="499">
        <f t="shared" si="16"/>
        <v>0.30633462706019926</v>
      </c>
      <c r="BH70" s="446">
        <v>559</v>
      </c>
      <c r="BI70" s="499">
        <f t="shared" si="17"/>
        <v>0.29423793690254307</v>
      </c>
      <c r="BJ70" s="444">
        <v>611</v>
      </c>
      <c r="BK70" s="499">
        <f t="shared" si="18"/>
        <v>0.32271081308336186</v>
      </c>
      <c r="BL70" s="495">
        <v>652</v>
      </c>
      <c r="BM70" s="499">
        <f t="shared" si="19"/>
        <v>0.33982599032955302</v>
      </c>
      <c r="BN70" s="444">
        <v>671</v>
      </c>
      <c r="BO70" s="499">
        <f t="shared" si="20"/>
        <v>0.34205967845370672</v>
      </c>
      <c r="BP70" s="446">
        <v>666</v>
      </c>
      <c r="BQ70" s="499">
        <f t="shared" si="5"/>
        <v>0.33210828924338154</v>
      </c>
      <c r="BR70" s="446">
        <v>644</v>
      </c>
      <c r="BS70" s="500">
        <v>3.2000000000000002E-3</v>
      </c>
      <c r="BT70" s="367"/>
      <c r="BU70" s="367"/>
      <c r="BV70" s="367"/>
      <c r="BW70" s="367"/>
      <c r="BX70" s="367"/>
      <c r="BY70" s="367"/>
      <c r="BZ70" s="367"/>
      <c r="CA70" s="446"/>
    </row>
    <row r="71" spans="1:92" ht="15.75">
      <c r="B71" s="468"/>
      <c r="C71" s="446"/>
      <c r="D71" s="375"/>
      <c r="E71" s="375"/>
      <c r="F71" s="370"/>
      <c r="G71" s="375"/>
      <c r="H71" s="368"/>
      <c r="I71" s="368"/>
      <c r="J71" s="368"/>
      <c r="L71" s="494"/>
      <c r="P71" s="495"/>
      <c r="R71" s="495"/>
      <c r="T71" s="495"/>
      <c r="U71" s="495"/>
      <c r="V71" s="495"/>
      <c r="W71" s="495"/>
      <c r="X71" s="495"/>
      <c r="Y71" s="495"/>
      <c r="Z71" s="468"/>
      <c r="AB71" s="468"/>
      <c r="AC71" s="369"/>
      <c r="AD71" s="369"/>
      <c r="AE71" s="369"/>
      <c r="AF71" s="369"/>
      <c r="AI71" s="495"/>
      <c r="AJ71" s="495"/>
      <c r="AK71" s="495"/>
      <c r="AL71" s="495"/>
      <c r="AM71" s="495"/>
      <c r="AN71" s="495"/>
      <c r="AO71" s="495"/>
      <c r="AP71" s="495"/>
      <c r="AQ71" s="496"/>
      <c r="AS71" s="468"/>
      <c r="AU71" s="477"/>
      <c r="AV71" s="444"/>
      <c r="AW71" s="477"/>
      <c r="AX71" s="479"/>
      <c r="AY71" s="477"/>
      <c r="AZ71" s="446"/>
      <c r="BA71" s="363"/>
      <c r="BB71" s="489"/>
      <c r="BC71" s="475"/>
      <c r="BD71" s="489"/>
      <c r="BE71" s="490"/>
      <c r="BF71" s="489"/>
      <c r="BG71" s="477"/>
      <c r="BH71" s="454"/>
      <c r="BI71" s="499"/>
      <c r="BJ71" s="446"/>
      <c r="BK71" s="499"/>
      <c r="BL71" s="495"/>
      <c r="BM71" s="499"/>
      <c r="BN71" s="446"/>
      <c r="BO71" s="499"/>
      <c r="BP71" s="446"/>
      <c r="BQ71" s="499"/>
      <c r="BR71" s="446"/>
      <c r="BS71" s="500"/>
      <c r="BT71" s="367"/>
      <c r="BU71" s="367"/>
      <c r="BV71" s="367"/>
      <c r="BW71" s="446"/>
      <c r="BX71" s="446"/>
      <c r="BY71" s="446"/>
      <c r="BZ71" s="446"/>
      <c r="CA71" s="446"/>
    </row>
    <row r="72" spans="1:92" ht="16.149999999999999" customHeight="1">
      <c r="A72" s="480" t="s">
        <v>347</v>
      </c>
      <c r="B72" s="468"/>
      <c r="C72" s="446"/>
      <c r="D72" s="365">
        <v>1666.1</v>
      </c>
      <c r="E72" s="365"/>
      <c r="F72" s="365">
        <v>1709.2</v>
      </c>
      <c r="G72" s="365"/>
      <c r="H72" s="482">
        <v>1744</v>
      </c>
      <c r="I72" s="482"/>
      <c r="J72" s="482">
        <v>1766.8</v>
      </c>
      <c r="L72" s="505">
        <v>1810.6</v>
      </c>
      <c r="N72" s="505">
        <v>1872</v>
      </c>
      <c r="P72" s="484">
        <v>2123.5</v>
      </c>
      <c r="Q72" s="505"/>
      <c r="R72" s="484">
        <v>2169.5</v>
      </c>
      <c r="S72" s="505"/>
      <c r="T72" s="484">
        <v>2204.2999999999997</v>
      </c>
      <c r="U72" s="484">
        <v>2152.1</v>
      </c>
      <c r="V72" s="484">
        <v>2126</v>
      </c>
      <c r="W72" s="484">
        <v>2152</v>
      </c>
      <c r="X72" s="484">
        <v>2169</v>
      </c>
      <c r="Y72" s="484">
        <v>2172</v>
      </c>
      <c r="Z72" s="468"/>
      <c r="AA72" s="480">
        <v>2152.4</v>
      </c>
      <c r="AB72" s="468">
        <v>2169.4</v>
      </c>
      <c r="AC72" s="364">
        <v>19483.764479923175</v>
      </c>
      <c r="AD72" s="364">
        <v>19235.607301661596</v>
      </c>
      <c r="AE72" s="364">
        <v>19859.518348623853</v>
      </c>
      <c r="AF72" s="364">
        <v>19624.366085578447</v>
      </c>
      <c r="AG72" s="365">
        <v>20864.906660775436</v>
      </c>
      <c r="AH72" s="455">
        <v>21157.585470085469</v>
      </c>
      <c r="AI72" s="484">
        <v>21445.302566517541</v>
      </c>
      <c r="AJ72" s="484">
        <v>22351.693938695549</v>
      </c>
      <c r="AK72" s="484">
        <v>22310.347956267298</v>
      </c>
      <c r="AL72" s="484">
        <v>22000.975791087778</v>
      </c>
      <c r="AM72" s="484">
        <v>22889.014349564808</v>
      </c>
      <c r="AN72" s="484">
        <v>23296.92436350121</v>
      </c>
      <c r="AO72" s="484">
        <v>23316</v>
      </c>
      <c r="AP72" s="484">
        <v>23089</v>
      </c>
      <c r="AQ72" s="485"/>
      <c r="AR72" s="455" t="s">
        <v>347</v>
      </c>
      <c r="AS72" s="481"/>
      <c r="AT72" s="455">
        <v>32461.9</v>
      </c>
      <c r="AU72" s="486">
        <v>20.9037812636839</v>
      </c>
      <c r="AV72" s="455">
        <v>32877.5</v>
      </c>
      <c r="AW72" s="486">
        <v>21.348194226198981</v>
      </c>
      <c r="AX72" s="487">
        <v>34635</v>
      </c>
      <c r="AY72" s="486">
        <v>22.188979505544843</v>
      </c>
      <c r="AZ72" s="488">
        <v>34672.33</v>
      </c>
      <c r="BA72" s="366">
        <v>22.047493990919612</v>
      </c>
      <c r="BB72" s="489">
        <v>37778</v>
      </c>
      <c r="BC72" s="490">
        <v>23.235274219043109</v>
      </c>
      <c r="BD72" s="489">
        <v>39607</v>
      </c>
      <c r="BE72" s="490">
        <v>23.661084991606579</v>
      </c>
      <c r="BF72" s="489">
        <v>45539.1</v>
      </c>
      <c r="BG72" s="486">
        <f t="shared" ref="BG72:BG77" si="21">+(BF72/$BF$79)*100</f>
        <v>25.738382315788044</v>
      </c>
      <c r="BH72" s="454">
        <v>49178.7</v>
      </c>
      <c r="BI72" s="486">
        <f t="shared" ref="BI72:BI77" si="22">+(BH72/$BH$79)*100</f>
        <v>25.885937795257767</v>
      </c>
      <c r="BJ72" s="491">
        <v>47348.3</v>
      </c>
      <c r="BK72" s="486">
        <f t="shared" ref="BK72:BK77" si="23">+(BJ72/$BJ$79)*100</f>
        <v>25.007869707225765</v>
      </c>
      <c r="BL72" s="484">
        <v>48650.6</v>
      </c>
      <c r="BM72" s="486">
        <f t="shared" ref="BM72:BM77" si="24">+(BL72/$BL$79)*100</f>
        <v>25.356960621360358</v>
      </c>
      <c r="BN72" s="491">
        <v>50144.3</v>
      </c>
      <c r="BO72" s="486">
        <f t="shared" ref="BO72:BO77" si="25">+(BN72/$BN$79)*100</f>
        <v>25.562359365553217</v>
      </c>
      <c r="BP72" s="454">
        <v>50582</v>
      </c>
      <c r="BQ72" s="486">
        <f t="shared" si="5"/>
        <v>25.223275505268354</v>
      </c>
      <c r="BR72" s="454">
        <v>50139</v>
      </c>
      <c r="BS72" s="492">
        <v>0.2492</v>
      </c>
      <c r="BT72" s="367"/>
      <c r="BU72" s="367"/>
      <c r="BV72" s="367"/>
      <c r="BW72" s="367"/>
      <c r="BX72" s="367"/>
      <c r="BY72" s="454"/>
      <c r="BZ72" s="454"/>
      <c r="CA72" s="454"/>
      <c r="CB72" s="455"/>
      <c r="CC72" s="455"/>
      <c r="CD72" s="455"/>
      <c r="CE72" s="455"/>
      <c r="CF72" s="455"/>
      <c r="CG72" s="455"/>
      <c r="CH72" s="455"/>
      <c r="CI72" s="455"/>
      <c r="CJ72" s="455"/>
      <c r="CK72" s="455"/>
      <c r="CL72" s="455"/>
      <c r="CM72" s="455"/>
    </row>
    <row r="73" spans="1:92" ht="15.75">
      <c r="B73" s="378" t="s">
        <v>30</v>
      </c>
      <c r="C73" s="379"/>
      <c r="D73" s="370">
        <v>264</v>
      </c>
      <c r="E73" s="370"/>
      <c r="F73" s="370">
        <v>257</v>
      </c>
      <c r="G73" s="370"/>
      <c r="H73" s="368">
        <v>253</v>
      </c>
      <c r="I73" s="368"/>
      <c r="J73" s="368">
        <v>248</v>
      </c>
      <c r="L73" s="494">
        <v>247</v>
      </c>
      <c r="N73" s="444">
        <v>247</v>
      </c>
      <c r="P73" s="495">
        <v>241</v>
      </c>
      <c r="R73" s="495">
        <v>238</v>
      </c>
      <c r="T73" s="495">
        <v>244</v>
      </c>
      <c r="U73" s="495">
        <v>240</v>
      </c>
      <c r="V73" s="495">
        <v>251</v>
      </c>
      <c r="W73" s="495">
        <v>260</v>
      </c>
      <c r="X73" s="495">
        <v>262</v>
      </c>
      <c r="Y73" s="495">
        <v>266</v>
      </c>
      <c r="Z73" s="468"/>
      <c r="AA73" s="444">
        <v>260</v>
      </c>
      <c r="AB73" s="378">
        <v>262</v>
      </c>
      <c r="AC73" s="369">
        <v>20091</v>
      </c>
      <c r="AD73" s="369">
        <v>20541</v>
      </c>
      <c r="AE73" s="369">
        <v>20968</v>
      </c>
      <c r="AF73" s="369">
        <v>21476</v>
      </c>
      <c r="AG73" s="444">
        <v>22409</v>
      </c>
      <c r="AH73" s="444">
        <v>22644</v>
      </c>
      <c r="AI73" s="495">
        <v>23269.709543568464</v>
      </c>
      <c r="AJ73" s="495">
        <v>23239.495798319327</v>
      </c>
      <c r="AK73" s="495">
        <v>23344.262295081968</v>
      </c>
      <c r="AL73" s="495">
        <v>23170.833333333336</v>
      </c>
      <c r="AM73" s="495">
        <v>23446.215139442229</v>
      </c>
      <c r="AN73" s="495">
        <v>23726.923076923074</v>
      </c>
      <c r="AO73" s="495">
        <v>23794</v>
      </c>
      <c r="AP73" s="495">
        <v>23820</v>
      </c>
      <c r="AQ73" s="496"/>
      <c r="AS73" s="378" t="s">
        <v>30</v>
      </c>
      <c r="AT73" s="444">
        <v>5304</v>
      </c>
      <c r="AU73" s="477">
        <v>3.4155011204698247</v>
      </c>
      <c r="AV73" s="444">
        <v>5279</v>
      </c>
      <c r="AW73" s="477">
        <v>3.4277885277196991</v>
      </c>
      <c r="AX73" s="479">
        <v>5305</v>
      </c>
      <c r="AY73" s="477">
        <v>3.3986584748640216</v>
      </c>
      <c r="AZ73" s="444">
        <v>5326</v>
      </c>
      <c r="BA73" s="363">
        <v>3.386704989126426</v>
      </c>
      <c r="BB73" s="497">
        <v>5535</v>
      </c>
      <c r="BC73" s="475">
        <v>3.404289343067489</v>
      </c>
      <c r="BD73" s="497">
        <v>5593</v>
      </c>
      <c r="BE73" s="498">
        <v>3.3412388809567903</v>
      </c>
      <c r="BF73" s="497">
        <v>5608</v>
      </c>
      <c r="BG73" s="499">
        <f t="shared" si="21"/>
        <v>3.1696025619070061</v>
      </c>
      <c r="BH73" s="446">
        <v>5696</v>
      </c>
      <c r="BI73" s="499">
        <f t="shared" si="22"/>
        <v>2.9981740404237662</v>
      </c>
      <c r="BJ73" s="444">
        <v>5561</v>
      </c>
      <c r="BK73" s="499">
        <f t="shared" si="23"/>
        <v>2.9371437505017597</v>
      </c>
      <c r="BL73" s="495">
        <v>5885</v>
      </c>
      <c r="BM73" s="499">
        <f t="shared" si="24"/>
        <v>3.0672944065788648</v>
      </c>
      <c r="BN73" s="444">
        <v>6169</v>
      </c>
      <c r="BO73" s="499">
        <f t="shared" si="25"/>
        <v>3.1448079826839295</v>
      </c>
      <c r="BP73" s="446">
        <v>6234</v>
      </c>
      <c r="BQ73" s="499">
        <f t="shared" si="5"/>
        <v>3.1086532659808412</v>
      </c>
      <c r="BR73" s="446">
        <v>6336</v>
      </c>
      <c r="BS73" s="500">
        <v>3.15E-2</v>
      </c>
      <c r="BT73" s="367"/>
      <c r="BU73" s="367"/>
      <c r="BV73" s="367"/>
      <c r="BW73" s="367"/>
      <c r="BX73" s="367"/>
      <c r="BY73" s="367"/>
      <c r="BZ73" s="367"/>
      <c r="CA73" s="446"/>
    </row>
    <row r="74" spans="1:92" ht="15.75">
      <c r="B74" s="378" t="s">
        <v>29</v>
      </c>
      <c r="C74" s="379"/>
      <c r="D74" s="370">
        <v>97</v>
      </c>
      <c r="E74" s="370"/>
      <c r="F74" s="370">
        <v>93</v>
      </c>
      <c r="G74" s="370"/>
      <c r="H74" s="368">
        <v>90</v>
      </c>
      <c r="I74" s="368"/>
      <c r="J74" s="368">
        <v>89</v>
      </c>
      <c r="L74" s="494">
        <v>89</v>
      </c>
      <c r="N74" s="444">
        <v>90</v>
      </c>
      <c r="P74" s="495">
        <v>121</v>
      </c>
      <c r="R74" s="495">
        <v>115</v>
      </c>
      <c r="T74" s="495">
        <v>114</v>
      </c>
      <c r="U74" s="495">
        <v>114</v>
      </c>
      <c r="V74" s="495">
        <v>118</v>
      </c>
      <c r="W74" s="495">
        <v>121</v>
      </c>
      <c r="X74" s="495">
        <v>123</v>
      </c>
      <c r="Y74" s="495">
        <v>123</v>
      </c>
      <c r="Z74" s="468"/>
      <c r="AA74" s="444">
        <v>121</v>
      </c>
      <c r="AB74" s="378">
        <v>123</v>
      </c>
      <c r="AC74" s="369">
        <v>17289</v>
      </c>
      <c r="AD74" s="369">
        <v>17290.322580645159</v>
      </c>
      <c r="AE74" s="369">
        <v>17888.888888888891</v>
      </c>
      <c r="AF74" s="369">
        <v>17787</v>
      </c>
      <c r="AG74" s="444">
        <v>18708</v>
      </c>
      <c r="AH74" s="444">
        <v>18222</v>
      </c>
      <c r="AI74" s="495">
        <v>18876.033057851237</v>
      </c>
      <c r="AJ74" s="495">
        <v>19417.391304347828</v>
      </c>
      <c r="AK74" s="495">
        <v>19771.929824561405</v>
      </c>
      <c r="AL74" s="495">
        <v>19719.298245614034</v>
      </c>
      <c r="AM74" s="495">
        <v>20161.016949152545</v>
      </c>
      <c r="AN74" s="495">
        <v>20487.603305785124</v>
      </c>
      <c r="AO74" s="495">
        <v>20431</v>
      </c>
      <c r="AP74" s="495">
        <v>20439</v>
      </c>
      <c r="AQ74" s="496"/>
      <c r="AS74" s="378" t="s">
        <v>29</v>
      </c>
      <c r="AT74" s="444">
        <v>1677</v>
      </c>
      <c r="AU74" s="477">
        <v>1.0799010895603123</v>
      </c>
      <c r="AV74" s="444">
        <v>1608</v>
      </c>
      <c r="AW74" s="477">
        <v>1.0441151643442463</v>
      </c>
      <c r="AX74" s="479">
        <v>1610</v>
      </c>
      <c r="AY74" s="477">
        <v>1.0314496031161309</v>
      </c>
      <c r="AZ74" s="444">
        <v>1583</v>
      </c>
      <c r="BA74" s="363">
        <v>1.0066004502041179</v>
      </c>
      <c r="BB74" s="497">
        <v>1665</v>
      </c>
      <c r="BC74" s="475">
        <v>1.0240545178333098</v>
      </c>
      <c r="BD74" s="497">
        <v>1640</v>
      </c>
      <c r="BE74" s="498">
        <v>0.97973033519920183</v>
      </c>
      <c r="BF74" s="497">
        <v>2284</v>
      </c>
      <c r="BG74" s="499">
        <f t="shared" si="21"/>
        <v>1.290900900748146</v>
      </c>
      <c r="BH74" s="446">
        <v>2254</v>
      </c>
      <c r="BI74" s="499">
        <f t="shared" si="22"/>
        <v>1.1864263144513989</v>
      </c>
      <c r="BJ74" s="444">
        <v>2248</v>
      </c>
      <c r="BK74" s="499">
        <f t="shared" si="23"/>
        <v>1.1873222713770826</v>
      </c>
      <c r="BL74" s="495">
        <v>2379</v>
      </c>
      <c r="BM74" s="499">
        <f t="shared" si="24"/>
        <v>1.2399479002975562</v>
      </c>
      <c r="BN74" s="444">
        <v>2479</v>
      </c>
      <c r="BO74" s="499">
        <f t="shared" si="25"/>
        <v>1.263734639175468</v>
      </c>
      <c r="BP74" s="446">
        <v>2513</v>
      </c>
      <c r="BQ74" s="499">
        <f t="shared" si="5"/>
        <v>1.253135331634561</v>
      </c>
      <c r="BR74" s="446">
        <v>2514</v>
      </c>
      <c r="BS74" s="500">
        <v>1.2500000000000001E-2</v>
      </c>
      <c r="BT74" s="367"/>
      <c r="BU74" s="367"/>
      <c r="BV74" s="367"/>
      <c r="BW74" s="367"/>
      <c r="BX74" s="367"/>
      <c r="BY74" s="367"/>
      <c r="BZ74" s="367"/>
      <c r="CA74" s="446"/>
    </row>
    <row r="75" spans="1:92" ht="15.75" hidden="1">
      <c r="B75" s="378" t="s">
        <v>348</v>
      </c>
      <c r="C75" s="379"/>
      <c r="D75" s="370">
        <v>1294</v>
      </c>
      <c r="E75" s="370"/>
      <c r="F75" s="370">
        <v>1349</v>
      </c>
      <c r="G75" s="370"/>
      <c r="H75" s="368">
        <v>1391</v>
      </c>
      <c r="I75" s="368"/>
      <c r="J75" s="368">
        <v>1420</v>
      </c>
      <c r="L75" s="494">
        <v>1465</v>
      </c>
      <c r="N75" s="444">
        <v>1526</v>
      </c>
      <c r="P75" s="495">
        <v>1755</v>
      </c>
      <c r="R75" s="495">
        <v>1813</v>
      </c>
      <c r="T75" s="495">
        <v>1844</v>
      </c>
      <c r="U75" s="495">
        <v>1796</v>
      </c>
      <c r="V75" s="495">
        <v>1754</v>
      </c>
      <c r="W75" s="495">
        <v>1769</v>
      </c>
      <c r="X75" s="495">
        <v>1782</v>
      </c>
      <c r="Y75" s="495">
        <v>1780</v>
      </c>
      <c r="Z75" s="468"/>
      <c r="AA75" s="444">
        <v>1769</v>
      </c>
      <c r="AB75" s="378">
        <v>1782</v>
      </c>
      <c r="AC75" s="369">
        <v>19573</v>
      </c>
      <c r="AD75" s="369">
        <v>19161</v>
      </c>
      <c r="AE75" s="369">
        <v>19829</v>
      </c>
      <c r="AF75" s="369">
        <v>19451</v>
      </c>
      <c r="AG75" s="444">
        <v>20781</v>
      </c>
      <c r="AH75" s="444">
        <v>21130</v>
      </c>
      <c r="AI75" s="495">
        <v>21403.988603988604</v>
      </c>
      <c r="AJ75" s="495">
        <v>22439.602868174297</v>
      </c>
      <c r="AK75" s="495">
        <v>22344.360086767894</v>
      </c>
      <c r="AL75" s="495">
        <v>22000</v>
      </c>
      <c r="AM75" s="495">
        <v>23007.411630558723</v>
      </c>
      <c r="AN75" s="495">
        <v>23438.100621820238</v>
      </c>
      <c r="AO75" s="495">
        <v>23457</v>
      </c>
      <c r="AP75" s="495">
        <v>23178</v>
      </c>
      <c r="AQ75" s="496"/>
      <c r="AS75" s="378" t="s">
        <v>348</v>
      </c>
      <c r="AT75" s="444">
        <v>25327</v>
      </c>
      <c r="AU75" s="477">
        <v>16.309275429513434</v>
      </c>
      <c r="AV75" s="444">
        <v>25848</v>
      </c>
      <c r="AW75" s="477">
        <v>16.783761671623182</v>
      </c>
      <c r="AX75" s="479">
        <v>27582</v>
      </c>
      <c r="AY75" s="477">
        <v>17.670461461583308</v>
      </c>
      <c r="AZ75" s="444">
        <v>27620</v>
      </c>
      <c r="BA75" s="363">
        <v>17.563047652961302</v>
      </c>
      <c r="BB75" s="497">
        <v>30444</v>
      </c>
      <c r="BC75" s="475">
        <v>18.724513958508879</v>
      </c>
      <c r="BD75" s="497">
        <v>32245</v>
      </c>
      <c r="BE75" s="498">
        <v>19.263051621035526</v>
      </c>
      <c r="BF75" s="497">
        <v>37564</v>
      </c>
      <c r="BG75" s="499">
        <f t="shared" si="21"/>
        <v>21.230911311603919</v>
      </c>
      <c r="BH75" s="446">
        <v>41203</v>
      </c>
      <c r="BI75" s="499">
        <f t="shared" si="22"/>
        <v>21.687809864392634</v>
      </c>
      <c r="BJ75" s="444">
        <v>39512</v>
      </c>
      <c r="BK75" s="499">
        <f t="shared" si="23"/>
        <v>20.868984691570859</v>
      </c>
      <c r="BL75" s="495">
        <v>40355</v>
      </c>
      <c r="BM75" s="499">
        <f t="shared" si="24"/>
        <v>21.0332482204741</v>
      </c>
      <c r="BN75" s="444">
        <v>41462</v>
      </c>
      <c r="BO75" s="499">
        <f t="shared" si="25"/>
        <v>21.13633142779074</v>
      </c>
      <c r="BP75" s="446">
        <v>41801</v>
      </c>
      <c r="BQ75" s="499">
        <f>+(BP75/$BP$79)*100</f>
        <v>20.844532430424312</v>
      </c>
      <c r="BR75" s="446">
        <v>41256</v>
      </c>
      <c r="BS75" s="500">
        <v>0.20499999999999999</v>
      </c>
      <c r="BT75" s="367"/>
      <c r="BU75" s="367"/>
      <c r="BV75" s="367"/>
      <c r="BW75" s="367"/>
      <c r="BX75" s="367"/>
      <c r="BY75" s="367"/>
      <c r="BZ75" s="367"/>
      <c r="CA75" s="446"/>
    </row>
    <row r="76" spans="1:92" ht="15.75" hidden="1">
      <c r="B76" s="378" t="s">
        <v>349</v>
      </c>
      <c r="C76" s="379"/>
      <c r="D76" s="374">
        <v>0.7</v>
      </c>
      <c r="E76" s="374"/>
      <c r="F76" s="374">
        <v>0.8</v>
      </c>
      <c r="G76" s="374"/>
      <c r="H76" s="374">
        <v>0.9</v>
      </c>
      <c r="I76" s="374"/>
      <c r="J76" s="374">
        <v>0.9</v>
      </c>
      <c r="L76" s="380">
        <v>1</v>
      </c>
      <c r="N76" s="374">
        <v>0.9</v>
      </c>
      <c r="P76" s="495">
        <v>1.1000000000000001</v>
      </c>
      <c r="Q76" s="374"/>
      <c r="R76" s="495">
        <v>0.6</v>
      </c>
      <c r="S76" s="368"/>
      <c r="T76" s="495">
        <v>0.6</v>
      </c>
      <c r="U76" s="495">
        <v>0.6</v>
      </c>
      <c r="V76" s="495">
        <v>0.5</v>
      </c>
      <c r="W76" s="495">
        <v>1</v>
      </c>
      <c r="X76" s="495">
        <v>0</v>
      </c>
      <c r="Y76" s="495">
        <v>0</v>
      </c>
      <c r="Z76" s="468"/>
      <c r="AA76" s="444">
        <v>0.5</v>
      </c>
      <c r="AB76" s="378">
        <v>0.4</v>
      </c>
      <c r="AC76" s="369">
        <v>17000</v>
      </c>
      <c r="AD76" s="369">
        <v>16875</v>
      </c>
      <c r="AE76" s="369">
        <v>16667</v>
      </c>
      <c r="AF76" s="369">
        <v>15922</v>
      </c>
      <c r="AG76" s="444">
        <v>13580</v>
      </c>
      <c r="AH76" s="444">
        <v>14500</v>
      </c>
      <c r="AI76" s="495">
        <v>12272.727272727272</v>
      </c>
      <c r="AJ76" s="495">
        <v>15000</v>
      </c>
      <c r="AK76" s="495">
        <v>12000</v>
      </c>
      <c r="AL76" s="495">
        <v>10000</v>
      </c>
      <c r="AM76" s="495">
        <v>11000</v>
      </c>
      <c r="AN76" s="495">
        <v>13800</v>
      </c>
      <c r="AO76" s="495">
        <v>14250</v>
      </c>
      <c r="AP76" s="495">
        <v>10667</v>
      </c>
      <c r="AQ76" s="496"/>
      <c r="AS76" s="378" t="s">
        <v>349</v>
      </c>
      <c r="AT76" s="444">
        <v>11.9</v>
      </c>
      <c r="AU76" s="477">
        <v>7.6629832831053759E-3</v>
      </c>
      <c r="AV76" s="444">
        <v>13.5</v>
      </c>
      <c r="AW76" s="477">
        <v>8.7658922379647546E-3</v>
      </c>
      <c r="AX76" s="479">
        <v>15</v>
      </c>
      <c r="AY76" s="477">
        <v>9.6097789110198544E-3</v>
      </c>
      <c r="AZ76" s="444">
        <v>14.33</v>
      </c>
      <c r="BA76" s="363">
        <v>9.1121822182091035E-3</v>
      </c>
      <c r="BB76" s="497">
        <v>14</v>
      </c>
      <c r="BC76" s="475">
        <v>8.6106686184182196E-3</v>
      </c>
      <c r="BD76" s="497">
        <v>13</v>
      </c>
      <c r="BE76" s="498">
        <v>7.7661550960912342E-3</v>
      </c>
      <c r="BF76" s="497">
        <v>13.5</v>
      </c>
      <c r="BG76" s="499">
        <f t="shared" si="21"/>
        <v>7.6301060245621589E-3</v>
      </c>
      <c r="BH76" s="446">
        <v>7.2</v>
      </c>
      <c r="BI76" s="499">
        <f t="shared" si="22"/>
        <v>3.7898267364907152E-3</v>
      </c>
      <c r="BJ76" s="444">
        <v>6</v>
      </c>
      <c r="BK76" s="499">
        <f t="shared" si="23"/>
        <v>3.1690096211132095E-3</v>
      </c>
      <c r="BL76" s="495">
        <v>6.6</v>
      </c>
      <c r="BM76" s="499">
        <f t="shared" si="24"/>
        <v>3.4399563438267636E-3</v>
      </c>
      <c r="BN76" s="444">
        <v>6.9</v>
      </c>
      <c r="BO76" s="499">
        <f t="shared" si="25"/>
        <v>3.5174542195686681E-3</v>
      </c>
      <c r="BP76" s="446">
        <v>6</v>
      </c>
      <c r="BQ76" s="499">
        <f>+(BP76/$BP$79)*100</f>
        <v>2.9919665697601939E-3</v>
      </c>
      <c r="BR76" s="446">
        <v>3</v>
      </c>
      <c r="BS76" s="500">
        <v>0</v>
      </c>
      <c r="BT76" s="367"/>
      <c r="BU76" s="367"/>
      <c r="BV76" s="367"/>
      <c r="BW76" s="367"/>
      <c r="BX76" s="367"/>
      <c r="BY76" s="367"/>
      <c r="BZ76" s="367"/>
      <c r="CA76" s="446"/>
    </row>
    <row r="77" spans="1:92" ht="15.75" hidden="1">
      <c r="B77" s="378" t="s">
        <v>350</v>
      </c>
      <c r="C77" s="379"/>
      <c r="D77" s="375">
        <v>10.4</v>
      </c>
      <c r="E77" s="375"/>
      <c r="F77" s="375">
        <v>9.4</v>
      </c>
      <c r="G77" s="375"/>
      <c r="H77" s="376">
        <v>9.1</v>
      </c>
      <c r="I77" s="376"/>
      <c r="J77" s="376">
        <v>8.9</v>
      </c>
      <c r="L77" s="377">
        <v>8.6</v>
      </c>
      <c r="N77" s="377">
        <v>8.1</v>
      </c>
      <c r="P77" s="495">
        <v>5.4</v>
      </c>
      <c r="Q77" s="377"/>
      <c r="R77" s="495">
        <v>2.9</v>
      </c>
      <c r="S77" s="508"/>
      <c r="T77" s="495">
        <v>1.7</v>
      </c>
      <c r="U77" s="495">
        <v>1.5</v>
      </c>
      <c r="V77" s="495">
        <v>1.9</v>
      </c>
      <c r="W77" s="495">
        <v>2</v>
      </c>
      <c r="X77" s="495">
        <v>1.5</v>
      </c>
      <c r="Y77" s="495">
        <v>2</v>
      </c>
      <c r="Z77" s="468"/>
      <c r="AA77" s="444">
        <v>1.9</v>
      </c>
      <c r="AB77" s="378">
        <v>2</v>
      </c>
      <c r="AC77" s="369">
        <v>13654</v>
      </c>
      <c r="AD77" s="369">
        <v>13723.404255319148</v>
      </c>
      <c r="AE77" s="369">
        <v>13516</v>
      </c>
      <c r="AF77" s="369">
        <v>14494</v>
      </c>
      <c r="AG77" s="444">
        <v>13919</v>
      </c>
      <c r="AH77" s="444">
        <v>14358</v>
      </c>
      <c r="AI77" s="495">
        <v>12888.888888888887</v>
      </c>
      <c r="AJ77" s="495">
        <v>12413.793103448275</v>
      </c>
      <c r="AK77" s="495">
        <v>10882.35294117647</v>
      </c>
      <c r="AL77" s="495">
        <v>14200.000000000002</v>
      </c>
      <c r="AM77" s="495">
        <v>13157.894736842107</v>
      </c>
      <c r="AN77" s="495">
        <v>14421.052631578947</v>
      </c>
      <c r="AO77" s="495">
        <v>14200</v>
      </c>
      <c r="AP77" s="495">
        <v>13409</v>
      </c>
      <c r="AQ77" s="496"/>
      <c r="AS77" s="378" t="s">
        <v>350</v>
      </c>
      <c r="AT77" s="444">
        <v>142</v>
      </c>
      <c r="AU77" s="477">
        <v>9.1440640857223809E-2</v>
      </c>
      <c r="AV77" s="444">
        <v>129</v>
      </c>
      <c r="AW77" s="477">
        <v>8.3762970273885434E-2</v>
      </c>
      <c r="AX77" s="479">
        <v>123</v>
      </c>
      <c r="AY77" s="477">
        <v>7.8800187070362807E-2</v>
      </c>
      <c r="AZ77" s="444">
        <v>129</v>
      </c>
      <c r="BA77" s="363">
        <v>8.2028716409558569E-2</v>
      </c>
      <c r="BB77" s="497">
        <v>120</v>
      </c>
      <c r="BC77" s="475">
        <v>7.3805731015013309E-2</v>
      </c>
      <c r="BD77" s="497">
        <v>116</v>
      </c>
      <c r="BE77" s="498">
        <v>6.9297999318967934E-2</v>
      </c>
      <c r="BF77" s="497">
        <v>69.599999999999994</v>
      </c>
      <c r="BG77" s="499">
        <f t="shared" si="21"/>
        <v>3.9337435504409345E-2</v>
      </c>
      <c r="BH77" s="446">
        <v>18.5</v>
      </c>
      <c r="BI77" s="499">
        <f t="shared" si="22"/>
        <v>9.7377492534830891E-3</v>
      </c>
      <c r="BJ77" s="444">
        <v>21.3</v>
      </c>
      <c r="BK77" s="499">
        <f t="shared" si="23"/>
        <v>1.1249984154951894E-2</v>
      </c>
      <c r="BL77" s="495">
        <v>25</v>
      </c>
      <c r="BM77" s="499">
        <f t="shared" si="24"/>
        <v>1.303013766601047E-2</v>
      </c>
      <c r="BN77" s="444">
        <v>27.4</v>
      </c>
      <c r="BO77" s="499">
        <f t="shared" si="25"/>
        <v>1.3967861683504565E-2</v>
      </c>
      <c r="BP77" s="446">
        <v>28</v>
      </c>
      <c r="BQ77" s="499">
        <f>+(BP77/$BP$79)*100</f>
        <v>1.3962510658880906E-2</v>
      </c>
      <c r="BR77" s="446">
        <v>30</v>
      </c>
      <c r="BS77" s="500">
        <v>1E-4</v>
      </c>
      <c r="BT77" s="367"/>
      <c r="BU77" s="367"/>
      <c r="BV77" s="367"/>
      <c r="BW77" s="367"/>
      <c r="BX77" s="367"/>
      <c r="BY77" s="367"/>
      <c r="BZ77" s="367"/>
      <c r="CA77" s="446"/>
    </row>
    <row r="78" spans="1:92" ht="15.75">
      <c r="B78" s="468"/>
      <c r="C78" s="446"/>
      <c r="D78" s="502"/>
      <c r="E78" s="502"/>
      <c r="F78" s="502"/>
      <c r="G78" s="502"/>
      <c r="H78" s="368"/>
      <c r="I78" s="368"/>
      <c r="J78" s="368"/>
      <c r="L78" s="494"/>
      <c r="P78" s="495"/>
      <c r="R78" s="495"/>
      <c r="T78" s="495"/>
      <c r="U78" s="495"/>
      <c r="V78" s="495"/>
      <c r="W78" s="495"/>
      <c r="X78" s="495"/>
      <c r="Y78" s="495"/>
      <c r="Z78" s="468"/>
      <c r="AB78" s="468"/>
      <c r="AC78" s="369"/>
      <c r="AD78" s="369"/>
      <c r="AE78" s="369"/>
      <c r="AF78" s="369"/>
      <c r="AI78" s="495"/>
      <c r="AJ78" s="495"/>
      <c r="AK78" s="495"/>
      <c r="AL78" s="509"/>
      <c r="AM78" s="509"/>
      <c r="AN78" s="509"/>
      <c r="AO78" s="509"/>
      <c r="AP78" s="509"/>
      <c r="AQ78" s="510"/>
      <c r="AS78" s="468"/>
      <c r="AU78" s="477"/>
      <c r="AV78" s="444"/>
      <c r="AW78" s="475"/>
      <c r="AX78" s="479"/>
      <c r="AY78" s="477"/>
      <c r="BA78" s="363"/>
      <c r="BB78" s="489"/>
      <c r="BC78" s="475"/>
      <c r="BD78" s="489"/>
      <c r="BE78" s="444"/>
      <c r="BF78" s="489"/>
      <c r="BG78" s="468"/>
      <c r="BH78" s="446"/>
      <c r="BI78" s="477"/>
      <c r="BJ78" s="446"/>
      <c r="BK78" s="477"/>
      <c r="BL78" s="495"/>
      <c r="BM78" s="468"/>
      <c r="BN78" s="446"/>
      <c r="BO78" s="468"/>
      <c r="BQ78" s="468"/>
      <c r="BS78" s="503"/>
      <c r="BT78" s="367"/>
      <c r="BU78" s="367"/>
      <c r="BV78" s="367"/>
      <c r="BW78" s="446"/>
      <c r="BX78" s="446"/>
      <c r="BY78" s="367"/>
      <c r="BZ78" s="446"/>
      <c r="CA78" s="446"/>
    </row>
    <row r="79" spans="1:92" ht="15.75">
      <c r="A79" s="511" t="s">
        <v>351</v>
      </c>
      <c r="B79" s="512"/>
      <c r="C79" s="513"/>
      <c r="D79" s="382">
        <v>9466</v>
      </c>
      <c r="E79" s="382"/>
      <c r="F79" s="382">
        <v>9372</v>
      </c>
      <c r="G79" s="382"/>
      <c r="H79" s="382">
        <v>9252</v>
      </c>
      <c r="I79" s="382"/>
      <c r="J79" s="382">
        <v>9151</v>
      </c>
      <c r="K79" s="382"/>
      <c r="L79" s="514">
        <v>9153</v>
      </c>
      <c r="M79" s="514"/>
      <c r="N79" s="514">
        <v>9199</v>
      </c>
      <c r="O79" s="514"/>
      <c r="P79" s="515">
        <v>9054.9</v>
      </c>
      <c r="Q79" s="515"/>
      <c r="R79" s="515">
        <v>9191.5</v>
      </c>
      <c r="S79" s="515"/>
      <c r="T79" s="515">
        <v>9318.9</v>
      </c>
      <c r="U79" s="515">
        <v>9204.7000000000007</v>
      </c>
      <c r="V79" s="515">
        <v>9124</v>
      </c>
      <c r="W79" s="515">
        <v>9198</v>
      </c>
      <c r="X79" s="515">
        <v>9235</v>
      </c>
      <c r="Y79" s="515">
        <v>9227</v>
      </c>
      <c r="Z79" s="383"/>
      <c r="AA79" s="511">
        <v>9197.5</v>
      </c>
      <c r="AB79" s="512">
        <v>9235.2999999999993</v>
      </c>
      <c r="AC79" s="381">
        <v>16405</v>
      </c>
      <c r="AD79" s="381">
        <v>16433</v>
      </c>
      <c r="AE79" s="381">
        <v>16871</v>
      </c>
      <c r="AF79" s="381">
        <v>17185</v>
      </c>
      <c r="AG79" s="382">
        <v>17763</v>
      </c>
      <c r="AH79" s="382">
        <v>18197</v>
      </c>
      <c r="AI79" s="515">
        <v>19539.774044992217</v>
      </c>
      <c r="AJ79" s="515">
        <v>20198.553010934018</v>
      </c>
      <c r="AK79" s="515">
        <v>20386.773116998786</v>
      </c>
      <c r="AL79" s="515">
        <v>20569.230936369462</v>
      </c>
      <c r="AM79" s="515">
        <v>21028.606188143229</v>
      </c>
      <c r="AN79" s="515">
        <v>21328.034792063059</v>
      </c>
      <c r="AO79" s="515">
        <v>21714</v>
      </c>
      <c r="AP79" s="515">
        <v>21807</v>
      </c>
      <c r="AQ79" s="515"/>
      <c r="AR79" s="511" t="s">
        <v>351</v>
      </c>
      <c r="AS79" s="512"/>
      <c r="AT79" s="516">
        <v>155292</v>
      </c>
      <c r="AU79" s="517"/>
      <c r="AV79" s="516">
        <v>154006</v>
      </c>
      <c r="AW79" s="518"/>
      <c r="AX79" s="519">
        <v>156091</v>
      </c>
      <c r="AY79" s="517"/>
      <c r="AZ79" s="516">
        <v>157262</v>
      </c>
      <c r="BA79" s="384"/>
      <c r="BB79" s="519">
        <v>162589</v>
      </c>
      <c r="BC79" s="518"/>
      <c r="BD79" s="519">
        <v>167393</v>
      </c>
      <c r="BE79" s="516"/>
      <c r="BF79" s="519">
        <v>176930.7</v>
      </c>
      <c r="BG79" s="512"/>
      <c r="BH79" s="382">
        <v>189982.3</v>
      </c>
      <c r="BI79" s="520"/>
      <c r="BJ79" s="382">
        <v>189333.6</v>
      </c>
      <c r="BK79" s="521">
        <v>1</v>
      </c>
      <c r="BL79" s="522">
        <v>191862.9</v>
      </c>
      <c r="BM79" s="521">
        <v>1</v>
      </c>
      <c r="BN79" s="382">
        <v>196164.6</v>
      </c>
      <c r="BO79" s="521">
        <v>1</v>
      </c>
      <c r="BP79" s="519">
        <v>200537</v>
      </c>
      <c r="BQ79" s="521">
        <v>1</v>
      </c>
      <c r="BR79" s="519">
        <v>201217</v>
      </c>
      <c r="BS79" s="521">
        <v>1</v>
      </c>
      <c r="BT79" s="367"/>
      <c r="BU79" s="367"/>
      <c r="BV79" s="367"/>
      <c r="BW79" s="367"/>
      <c r="BX79" s="367"/>
      <c r="BY79" s="367"/>
      <c r="BZ79" s="367"/>
      <c r="CA79" s="454"/>
      <c r="CB79" s="454"/>
      <c r="CC79" s="454"/>
      <c r="CD79" s="454"/>
      <c r="CE79" s="454"/>
      <c r="CF79" s="454"/>
      <c r="CG79" s="454"/>
      <c r="CH79" s="454"/>
      <c r="CI79" s="454"/>
      <c r="CJ79" s="454"/>
      <c r="CK79" s="446"/>
      <c r="CL79" s="446"/>
      <c r="CM79" s="446"/>
      <c r="CN79" s="446"/>
    </row>
    <row r="80" spans="1:92" ht="15.75">
      <c r="L80" s="495"/>
      <c r="M80" s="495"/>
      <c r="N80" s="495"/>
      <c r="O80" s="495"/>
      <c r="P80" s="495"/>
      <c r="Q80" s="495"/>
      <c r="R80" s="495"/>
      <c r="S80" s="495"/>
      <c r="T80" s="495"/>
      <c r="U80" s="495"/>
      <c r="V80" s="495"/>
      <c r="W80" s="495"/>
      <c r="X80" s="495"/>
      <c r="Y80" s="495"/>
      <c r="Z80" s="495"/>
      <c r="AG80" s="495"/>
      <c r="AH80" s="495"/>
      <c r="AI80" s="495"/>
      <c r="AJ80" s="495"/>
      <c r="AK80" s="495"/>
      <c r="AL80" s="495"/>
      <c r="AM80" s="495"/>
      <c r="AN80" s="495"/>
      <c r="AO80" s="495"/>
      <c r="AP80" s="495"/>
      <c r="AQ80" s="495"/>
      <c r="AT80" s="502"/>
      <c r="AX80" s="502"/>
      <c r="BX80" s="446"/>
      <c r="BY80" s="364"/>
      <c r="BZ80" s="446"/>
      <c r="CA80" s="446"/>
      <c r="CB80" s="446"/>
      <c r="CC80" s="446"/>
      <c r="CD80" s="446"/>
      <c r="CE80" s="446"/>
      <c r="CF80" s="446"/>
      <c r="CG80" s="446"/>
      <c r="CH80" s="446"/>
      <c r="CI80" s="446"/>
      <c r="CJ80" s="446"/>
      <c r="CK80" s="446"/>
      <c r="CL80" s="446"/>
      <c r="CM80" s="446"/>
    </row>
    <row r="81" spans="1:80" ht="15.75">
      <c r="B81" s="444" t="s">
        <v>352</v>
      </c>
      <c r="L81" s="495"/>
      <c r="M81" s="495"/>
      <c r="N81" s="495"/>
      <c r="O81" s="495"/>
      <c r="P81" s="495"/>
      <c r="Q81" s="495"/>
      <c r="R81" s="495"/>
      <c r="S81" s="495"/>
      <c r="T81" s="495"/>
      <c r="U81" s="495"/>
      <c r="V81" s="495"/>
      <c r="W81" s="495"/>
      <c r="X81" s="495"/>
      <c r="Y81" s="495"/>
      <c r="Z81" s="495"/>
      <c r="AB81" s="444" t="s">
        <v>352</v>
      </c>
      <c r="AG81" s="495"/>
      <c r="AH81" s="495"/>
      <c r="AI81" s="495"/>
      <c r="AJ81" s="495"/>
      <c r="AK81" s="495"/>
      <c r="AL81" s="495"/>
      <c r="AM81" s="495"/>
      <c r="AN81" s="495"/>
      <c r="AO81" s="495"/>
      <c r="AP81" s="495"/>
      <c r="AQ81" s="495"/>
      <c r="AS81" s="444" t="s">
        <v>352</v>
      </c>
      <c r="AT81" s="502"/>
      <c r="AX81" s="502"/>
      <c r="BX81" s="484"/>
      <c r="BY81" s="484"/>
      <c r="BZ81" s="484"/>
      <c r="CA81" s="484"/>
      <c r="CB81" s="484"/>
    </row>
    <row r="82" spans="1:80">
      <c r="A82" s="444" t="s">
        <v>363</v>
      </c>
      <c r="AE82" s="495"/>
      <c r="AF82" s="495"/>
      <c r="AG82" s="495"/>
      <c r="AH82" s="495"/>
      <c r="AI82" s="495"/>
      <c r="AJ82" s="495"/>
      <c r="AK82" s="495"/>
      <c r="AL82" s="495"/>
      <c r="AM82" s="495"/>
      <c r="AN82" s="495"/>
      <c r="AO82" s="495"/>
      <c r="AP82" s="495"/>
      <c r="AQ82" s="495"/>
      <c r="AT82" s="495"/>
      <c r="AU82" s="385"/>
      <c r="AV82" s="385"/>
      <c r="AW82" s="385"/>
      <c r="AX82" s="495"/>
      <c r="AY82" s="495"/>
      <c r="AZ82" s="495"/>
      <c r="BA82" s="495"/>
      <c r="BB82" s="495"/>
      <c r="BC82" s="495"/>
      <c r="BD82" s="495"/>
      <c r="BE82" s="369"/>
      <c r="BF82" s="495"/>
      <c r="BG82" s="495"/>
      <c r="BH82" s="495"/>
      <c r="BI82" s="495"/>
      <c r="BJ82" s="495"/>
      <c r="BK82" s="495"/>
      <c r="BL82" s="495"/>
      <c r="BM82" s="495"/>
      <c r="BN82" s="495"/>
      <c r="BO82" s="495"/>
      <c r="BP82" s="495"/>
      <c r="BQ82" s="495"/>
      <c r="BW82" s="495"/>
      <c r="BX82" s="495"/>
      <c r="BY82" s="495"/>
      <c r="BZ82" s="495"/>
      <c r="CA82" s="495"/>
      <c r="CB82" s="495"/>
    </row>
    <row r="83" spans="1:80" ht="15.75">
      <c r="A83" s="474"/>
      <c r="AC83" s="523"/>
      <c r="AD83" s="523"/>
      <c r="AE83" s="523"/>
      <c r="AF83" s="523"/>
      <c r="AG83" s="523"/>
      <c r="AH83" s="523"/>
      <c r="AI83" s="523"/>
      <c r="AJ83" s="523"/>
      <c r="AK83" s="523"/>
      <c r="AL83" s="523"/>
      <c r="AM83" s="523"/>
      <c r="AN83" s="523"/>
      <c r="AO83" s="523"/>
      <c r="AP83" s="523"/>
      <c r="AQ83" s="523"/>
      <c r="AT83" s="523"/>
      <c r="AU83" s="386"/>
      <c r="AV83" s="386"/>
      <c r="AW83" s="386"/>
      <c r="AX83" s="523"/>
      <c r="AY83" s="523"/>
      <c r="AZ83" s="523"/>
      <c r="BA83" s="523"/>
      <c r="BB83" s="523"/>
      <c r="BC83" s="523"/>
      <c r="BD83" s="523"/>
      <c r="BE83" s="364"/>
      <c r="BF83" s="523"/>
      <c r="BG83" s="523"/>
      <c r="BH83" s="523"/>
      <c r="BI83" s="523"/>
      <c r="BJ83" s="523"/>
      <c r="BK83" s="523"/>
      <c r="BL83" s="523"/>
      <c r="BM83" s="523"/>
      <c r="BN83" s="523"/>
      <c r="BO83" s="523"/>
      <c r="BP83" s="523"/>
      <c r="BQ83" s="523"/>
      <c r="BW83" s="523"/>
      <c r="BX83" s="495"/>
      <c r="BY83" s="495"/>
      <c r="BZ83" s="495"/>
      <c r="CA83" s="495"/>
      <c r="CB83" s="495"/>
    </row>
    <row r="84" spans="1:80">
      <c r="B84" s="444" t="s">
        <v>364</v>
      </c>
      <c r="AE84" s="495"/>
      <c r="AF84" s="495"/>
      <c r="AG84" s="495"/>
      <c r="AH84" s="495"/>
      <c r="AI84" s="495"/>
      <c r="AJ84" s="495"/>
      <c r="AK84" s="495"/>
      <c r="AL84" s="495"/>
      <c r="AM84" s="495"/>
      <c r="AN84" s="495"/>
      <c r="AO84" s="495"/>
      <c r="AP84" s="495"/>
      <c r="AQ84" s="495"/>
      <c r="AT84" s="495"/>
      <c r="AU84" s="385"/>
      <c r="AV84" s="385"/>
      <c r="AW84" s="385"/>
      <c r="AX84" s="495"/>
      <c r="AY84" s="495"/>
      <c r="AZ84" s="495"/>
      <c r="BA84" s="495"/>
      <c r="BB84" s="495"/>
      <c r="BC84" s="495"/>
      <c r="BD84" s="495"/>
      <c r="BE84" s="369"/>
      <c r="BF84" s="495"/>
      <c r="BG84" s="495"/>
      <c r="BH84" s="495"/>
      <c r="BI84" s="495"/>
      <c r="BJ84" s="495"/>
      <c r="BK84" s="495"/>
      <c r="BL84" s="495"/>
      <c r="BM84" s="495"/>
      <c r="BN84" s="495"/>
      <c r="BO84" s="495"/>
      <c r="BP84" s="495"/>
      <c r="BQ84" s="495"/>
      <c r="BW84" s="495"/>
      <c r="BX84" s="495"/>
      <c r="BY84" s="495"/>
      <c r="BZ84" s="495"/>
      <c r="CA84" s="495"/>
      <c r="CB84" s="495"/>
    </row>
    <row r="85" spans="1:80" ht="15.75">
      <c r="P85" s="484"/>
      <c r="Q85" s="484"/>
      <c r="R85" s="484"/>
      <c r="S85" s="484"/>
      <c r="T85" s="484"/>
      <c r="AU85" s="444"/>
      <c r="AV85" s="444"/>
      <c r="AW85" s="444"/>
      <c r="BE85" s="444"/>
      <c r="BX85" s="495"/>
      <c r="BY85" s="495"/>
      <c r="BZ85" s="495"/>
      <c r="CA85" s="495"/>
      <c r="CB85" s="495"/>
    </row>
    <row r="86" spans="1:80">
      <c r="P86" s="495"/>
      <c r="Q86" s="495"/>
      <c r="R86" s="495"/>
      <c r="S86" s="495"/>
      <c r="T86" s="495"/>
      <c r="AE86" s="495"/>
      <c r="AF86" s="495"/>
      <c r="AG86" s="495"/>
      <c r="AH86" s="495"/>
      <c r="AI86" s="495"/>
      <c r="AJ86" s="495"/>
      <c r="AK86" s="495"/>
      <c r="AL86" s="495"/>
      <c r="AM86" s="495"/>
      <c r="AN86" s="495"/>
      <c r="AO86" s="495"/>
      <c r="AP86" s="495"/>
      <c r="AQ86" s="495"/>
      <c r="AT86" s="495"/>
      <c r="AU86" s="385"/>
      <c r="AV86" s="385"/>
      <c r="AW86" s="385"/>
      <c r="AX86" s="495"/>
      <c r="AY86" s="495"/>
      <c r="AZ86" s="495"/>
      <c r="BA86" s="495"/>
      <c r="BB86" s="495"/>
      <c r="BC86" s="495"/>
      <c r="BD86" s="495"/>
      <c r="BE86" s="369"/>
      <c r="BF86" s="495"/>
      <c r="BG86" s="495"/>
      <c r="BH86" s="495"/>
      <c r="BI86" s="495"/>
      <c r="BJ86" s="495"/>
      <c r="BK86" s="495"/>
      <c r="BL86" s="495"/>
      <c r="BM86" s="495"/>
      <c r="BN86" s="495"/>
      <c r="BO86" s="495"/>
      <c r="BP86" s="495"/>
      <c r="BQ86" s="495"/>
      <c r="BW86" s="495"/>
      <c r="BX86" s="495"/>
      <c r="BY86" s="495"/>
      <c r="BZ86" s="495"/>
      <c r="CA86" s="495"/>
      <c r="CB86" s="495"/>
    </row>
    <row r="87" spans="1:80">
      <c r="P87" s="495"/>
      <c r="Q87" s="495"/>
      <c r="R87" s="495"/>
      <c r="S87" s="495"/>
      <c r="T87" s="495"/>
      <c r="AE87" s="495"/>
      <c r="AF87" s="495"/>
      <c r="AG87" s="495"/>
      <c r="AH87" s="495"/>
      <c r="AI87" s="495"/>
      <c r="AJ87" s="495"/>
      <c r="AK87" s="495"/>
      <c r="AL87" s="495"/>
      <c r="AM87" s="495"/>
      <c r="AN87" s="495"/>
      <c r="AO87" s="495"/>
      <c r="AP87" s="495"/>
      <c r="AQ87" s="495"/>
      <c r="AT87" s="495"/>
      <c r="AU87" s="385"/>
      <c r="AV87" s="385"/>
      <c r="AW87" s="385"/>
      <c r="AX87" s="495"/>
      <c r="AY87" s="495"/>
      <c r="AZ87" s="495"/>
      <c r="BA87" s="495"/>
      <c r="BB87" s="495"/>
      <c r="BC87" s="495"/>
      <c r="BD87" s="495"/>
      <c r="BE87" s="369"/>
      <c r="BF87" s="495"/>
      <c r="BG87" s="495"/>
      <c r="BH87" s="495"/>
      <c r="BI87" s="495"/>
      <c r="BJ87" s="495"/>
      <c r="BK87" s="495"/>
      <c r="BL87" s="495"/>
      <c r="BM87" s="495"/>
      <c r="BN87" s="495"/>
      <c r="BO87" s="495"/>
      <c r="BP87" s="495"/>
      <c r="BQ87" s="495"/>
      <c r="BW87" s="495"/>
      <c r="BX87" s="495"/>
      <c r="BY87" s="495"/>
      <c r="BZ87" s="495"/>
      <c r="CA87" s="495"/>
      <c r="CB87" s="495"/>
    </row>
    <row r="88" spans="1:80" ht="15.75">
      <c r="P88" s="495"/>
      <c r="Q88" s="495"/>
      <c r="R88" s="495"/>
      <c r="S88" s="495"/>
      <c r="T88" s="495"/>
      <c r="BF88" s="484"/>
      <c r="BG88" s="484"/>
      <c r="BH88" s="484"/>
      <c r="BI88" s="484"/>
      <c r="BJ88" s="484"/>
      <c r="BX88" s="495"/>
      <c r="BY88" s="495"/>
      <c r="BZ88" s="495"/>
      <c r="CA88" s="495"/>
      <c r="CB88" s="495"/>
    </row>
    <row r="89" spans="1:80">
      <c r="P89" s="495"/>
      <c r="Q89" s="495"/>
      <c r="R89" s="495"/>
      <c r="S89" s="495"/>
      <c r="T89" s="495"/>
      <c r="BF89" s="495"/>
      <c r="BG89" s="495"/>
      <c r="BH89" s="495"/>
      <c r="BI89" s="495"/>
      <c r="BJ89" s="495"/>
      <c r="BX89" s="495"/>
      <c r="BY89" s="495"/>
      <c r="BZ89" s="495"/>
      <c r="CA89" s="495"/>
      <c r="CB89" s="495"/>
    </row>
    <row r="90" spans="1:80">
      <c r="P90" s="495"/>
      <c r="Q90" s="495"/>
      <c r="R90" s="495"/>
      <c r="S90" s="495"/>
      <c r="T90" s="495"/>
      <c r="BF90" s="495"/>
      <c r="BG90" s="495"/>
      <c r="BH90" s="495"/>
      <c r="BI90" s="495"/>
      <c r="BJ90" s="495"/>
      <c r="BX90" s="495"/>
      <c r="BY90" s="495"/>
      <c r="BZ90" s="495"/>
      <c r="CA90" s="495"/>
      <c r="CB90" s="495"/>
    </row>
    <row r="91" spans="1:80">
      <c r="P91" s="495"/>
      <c r="Q91" s="495"/>
      <c r="R91" s="495"/>
      <c r="S91" s="495"/>
      <c r="T91" s="495"/>
      <c r="BF91" s="495"/>
      <c r="BG91" s="495"/>
      <c r="BH91" s="495"/>
      <c r="BI91" s="495"/>
      <c r="BJ91" s="495"/>
      <c r="BX91" s="495"/>
      <c r="BY91" s="495"/>
      <c r="BZ91" s="495"/>
      <c r="CA91" s="495"/>
      <c r="CB91" s="495"/>
    </row>
    <row r="92" spans="1:80">
      <c r="P92" s="495"/>
      <c r="Q92" s="495"/>
      <c r="R92" s="495"/>
      <c r="S92" s="495"/>
      <c r="T92" s="495"/>
      <c r="BF92" s="495"/>
      <c r="BG92" s="495"/>
      <c r="BH92" s="495"/>
      <c r="BI92" s="495"/>
      <c r="BJ92" s="495"/>
      <c r="BX92" s="495"/>
      <c r="BY92" s="495"/>
      <c r="BZ92" s="495"/>
      <c r="CA92" s="495"/>
      <c r="CB92" s="495"/>
    </row>
    <row r="93" spans="1:80">
      <c r="P93" s="495"/>
      <c r="Q93" s="495"/>
      <c r="R93" s="495"/>
      <c r="S93" s="495"/>
      <c r="T93" s="495"/>
      <c r="BF93" s="495"/>
      <c r="BG93" s="495"/>
      <c r="BH93" s="495"/>
      <c r="BI93" s="495"/>
      <c r="BJ93" s="495"/>
      <c r="BX93" s="495"/>
      <c r="BY93" s="495"/>
      <c r="BZ93" s="495"/>
      <c r="CA93" s="495"/>
      <c r="CB93" s="495"/>
    </row>
    <row r="94" spans="1:80" ht="15.75">
      <c r="P94" s="495"/>
      <c r="Q94" s="495"/>
      <c r="R94" s="495"/>
      <c r="S94" s="495"/>
      <c r="T94" s="495"/>
      <c r="BF94" s="495"/>
      <c r="BG94" s="495"/>
      <c r="BH94" s="495"/>
      <c r="BI94" s="495"/>
      <c r="BJ94" s="495"/>
      <c r="BX94" s="484"/>
      <c r="BY94" s="484"/>
      <c r="BZ94" s="484"/>
      <c r="CA94" s="484"/>
      <c r="CB94" s="484"/>
    </row>
    <row r="95" spans="1:80">
      <c r="P95" s="495"/>
      <c r="Q95" s="495"/>
      <c r="R95" s="495"/>
      <c r="S95" s="495"/>
      <c r="T95" s="495"/>
      <c r="BF95" s="495"/>
      <c r="BG95" s="495"/>
      <c r="BH95" s="495"/>
      <c r="BI95" s="495"/>
      <c r="BJ95" s="495"/>
      <c r="BX95" s="495"/>
      <c r="BY95" s="495"/>
      <c r="BZ95" s="495"/>
      <c r="CA95" s="495"/>
      <c r="CB95" s="495"/>
    </row>
    <row r="96" spans="1:80">
      <c r="P96" s="495"/>
      <c r="Q96" s="495"/>
      <c r="R96" s="495"/>
      <c r="S96" s="495"/>
      <c r="T96" s="495"/>
      <c r="BF96" s="495"/>
      <c r="BG96" s="495"/>
      <c r="BH96" s="495"/>
      <c r="BI96" s="495"/>
      <c r="BJ96" s="495"/>
      <c r="BX96" s="495"/>
      <c r="BY96" s="495"/>
      <c r="BZ96" s="495"/>
      <c r="CA96" s="495"/>
      <c r="CB96" s="495"/>
    </row>
    <row r="97" spans="16:80">
      <c r="P97" s="495"/>
      <c r="Q97" s="495"/>
      <c r="R97" s="495"/>
      <c r="S97" s="495"/>
      <c r="T97" s="495"/>
      <c r="BF97" s="495"/>
      <c r="BG97" s="495"/>
      <c r="BH97" s="495"/>
      <c r="BI97" s="495"/>
      <c r="BJ97" s="495"/>
      <c r="BX97" s="495"/>
      <c r="BY97" s="495"/>
      <c r="BZ97" s="495"/>
      <c r="CA97" s="495"/>
      <c r="CB97" s="495"/>
    </row>
    <row r="98" spans="16:80" ht="15.75">
      <c r="P98" s="484"/>
      <c r="Q98" s="484"/>
      <c r="R98" s="484"/>
      <c r="S98" s="484"/>
      <c r="T98" s="484"/>
      <c r="BF98" s="495"/>
      <c r="BG98" s="495"/>
      <c r="BH98" s="495"/>
      <c r="BI98" s="495"/>
      <c r="BJ98" s="495"/>
      <c r="BX98" s="495"/>
      <c r="BY98" s="495"/>
      <c r="BZ98" s="495"/>
      <c r="CA98" s="495"/>
      <c r="CB98" s="495"/>
    </row>
    <row r="99" spans="16:80" ht="15.75">
      <c r="P99" s="495"/>
      <c r="Q99" s="495"/>
      <c r="R99" s="495"/>
      <c r="S99" s="495"/>
      <c r="T99" s="495"/>
      <c r="BF99" s="495"/>
      <c r="BG99" s="495"/>
      <c r="BH99" s="495"/>
      <c r="BI99" s="495"/>
      <c r="BJ99" s="495"/>
      <c r="BX99" s="484"/>
      <c r="BY99" s="484"/>
      <c r="BZ99" s="484"/>
      <c r="CA99" s="484"/>
      <c r="CB99" s="484"/>
    </row>
    <row r="100" spans="16:80">
      <c r="P100" s="495"/>
      <c r="Q100" s="495"/>
      <c r="R100" s="495"/>
      <c r="S100" s="495"/>
      <c r="T100" s="495"/>
      <c r="BF100" s="495"/>
      <c r="BG100" s="495"/>
      <c r="BH100" s="495"/>
      <c r="BI100" s="495"/>
      <c r="BJ100" s="495"/>
      <c r="BX100" s="495"/>
      <c r="BY100" s="495"/>
      <c r="BZ100" s="495"/>
      <c r="CA100" s="495"/>
      <c r="CB100" s="495"/>
    </row>
    <row r="101" spans="16:80" ht="15.75">
      <c r="P101" s="495"/>
      <c r="Q101" s="495"/>
      <c r="R101" s="495"/>
      <c r="S101" s="495"/>
      <c r="T101" s="495"/>
      <c r="BF101" s="484"/>
      <c r="BG101" s="484"/>
      <c r="BH101" s="484"/>
      <c r="BI101" s="484"/>
      <c r="BJ101" s="484"/>
      <c r="BX101" s="495"/>
      <c r="BY101" s="495"/>
      <c r="BZ101" s="495"/>
      <c r="CA101" s="495"/>
      <c r="CB101" s="495"/>
    </row>
    <row r="102" spans="16:80">
      <c r="P102" s="495"/>
      <c r="Q102" s="495"/>
      <c r="R102" s="495"/>
      <c r="S102" s="495"/>
      <c r="T102" s="495"/>
      <c r="BF102" s="495"/>
      <c r="BG102" s="495"/>
      <c r="BH102" s="495"/>
      <c r="BI102" s="495"/>
      <c r="BJ102" s="495"/>
      <c r="BX102" s="495"/>
      <c r="BY102" s="495"/>
      <c r="BZ102" s="495"/>
      <c r="CA102" s="495"/>
      <c r="CB102" s="495"/>
    </row>
    <row r="103" spans="16:80" ht="15.75">
      <c r="P103" s="484"/>
      <c r="Q103" s="484"/>
      <c r="R103" s="484"/>
      <c r="S103" s="484"/>
      <c r="T103" s="484"/>
      <c r="BF103" s="495"/>
      <c r="BG103" s="495"/>
      <c r="BH103" s="495"/>
      <c r="BI103" s="495"/>
      <c r="BJ103" s="495"/>
      <c r="BX103" s="495"/>
      <c r="BY103" s="495"/>
      <c r="BZ103" s="495"/>
      <c r="CA103" s="495"/>
      <c r="CB103" s="495"/>
    </row>
    <row r="104" spans="16:80">
      <c r="P104" s="495"/>
      <c r="Q104" s="495"/>
      <c r="R104" s="495"/>
      <c r="S104" s="495"/>
      <c r="T104" s="495"/>
      <c r="BF104" s="495"/>
      <c r="BG104" s="495"/>
      <c r="BH104" s="495"/>
      <c r="BI104" s="495"/>
      <c r="BJ104" s="495"/>
      <c r="BX104" s="495"/>
      <c r="BY104" s="495"/>
      <c r="BZ104" s="495"/>
      <c r="CA104" s="495"/>
      <c r="CB104" s="495"/>
    </row>
    <row r="105" spans="16:80">
      <c r="P105" s="495"/>
      <c r="Q105" s="495"/>
      <c r="R105" s="495"/>
      <c r="S105" s="495"/>
      <c r="T105" s="495"/>
      <c r="BF105" s="495"/>
      <c r="BG105" s="495"/>
      <c r="BH105" s="495"/>
      <c r="BI105" s="495"/>
      <c r="BJ105" s="495"/>
      <c r="BX105" s="495"/>
      <c r="BY105" s="495"/>
      <c r="BZ105" s="495"/>
      <c r="CA105" s="495"/>
      <c r="CB105" s="495"/>
    </row>
    <row r="106" spans="16:80" ht="15.75">
      <c r="P106" s="495"/>
      <c r="Q106" s="495"/>
      <c r="R106" s="495"/>
      <c r="S106" s="495"/>
      <c r="T106" s="495"/>
      <c r="BF106" s="484"/>
      <c r="BG106" s="484"/>
      <c r="BH106" s="484"/>
      <c r="BI106" s="484"/>
      <c r="BJ106" s="484"/>
      <c r="BX106" s="484"/>
      <c r="BY106" s="484"/>
      <c r="BZ106" s="484"/>
      <c r="CA106" s="484"/>
      <c r="CB106" s="484"/>
    </row>
    <row r="107" spans="16:80">
      <c r="P107" s="495"/>
      <c r="Q107" s="495"/>
      <c r="R107" s="495"/>
      <c r="S107" s="495"/>
      <c r="T107" s="495"/>
      <c r="BF107" s="495"/>
      <c r="BG107" s="495"/>
      <c r="BH107" s="495"/>
      <c r="BI107" s="495"/>
      <c r="BJ107" s="495"/>
      <c r="BX107" s="495"/>
      <c r="BY107" s="495"/>
      <c r="BZ107" s="495"/>
      <c r="CA107" s="495"/>
      <c r="CB107" s="495"/>
    </row>
    <row r="108" spans="16:80">
      <c r="P108" s="495"/>
      <c r="Q108" s="495"/>
      <c r="R108" s="495"/>
      <c r="S108" s="495"/>
      <c r="T108" s="495"/>
      <c r="BF108" s="495"/>
      <c r="BG108" s="495"/>
      <c r="BH108" s="495"/>
      <c r="BI108" s="495"/>
      <c r="BJ108" s="495"/>
      <c r="BX108" s="495"/>
      <c r="BY108" s="495"/>
      <c r="BZ108" s="495"/>
      <c r="CA108" s="495"/>
      <c r="CB108" s="495"/>
    </row>
    <row r="109" spans="16:80">
      <c r="P109" s="495"/>
      <c r="Q109" s="495"/>
      <c r="R109" s="495"/>
      <c r="S109" s="495"/>
      <c r="T109" s="495"/>
      <c r="BF109" s="495"/>
      <c r="BG109" s="495"/>
      <c r="BH109" s="495"/>
      <c r="BI109" s="495"/>
      <c r="BJ109" s="495"/>
      <c r="BX109" s="495"/>
      <c r="BY109" s="495"/>
      <c r="BZ109" s="495"/>
      <c r="CA109" s="495"/>
      <c r="CB109" s="495"/>
    </row>
    <row r="110" spans="16:80" ht="15.75">
      <c r="P110" s="484"/>
      <c r="Q110" s="484"/>
      <c r="R110" s="484"/>
      <c r="S110" s="484"/>
      <c r="T110" s="484"/>
      <c r="BF110" s="495"/>
      <c r="BG110" s="495"/>
      <c r="BH110" s="495"/>
      <c r="BI110" s="495"/>
      <c r="BJ110" s="495"/>
      <c r="BX110" s="495"/>
      <c r="BY110" s="495"/>
      <c r="BZ110" s="495"/>
      <c r="CA110" s="495"/>
      <c r="CB110" s="495"/>
    </row>
    <row r="111" spans="16:80">
      <c r="P111" s="495"/>
      <c r="Q111" s="495"/>
      <c r="R111" s="495"/>
      <c r="S111" s="495"/>
      <c r="T111" s="495"/>
      <c r="BF111" s="495"/>
      <c r="BG111" s="495"/>
      <c r="BH111" s="495"/>
      <c r="BI111" s="495"/>
      <c r="BJ111" s="495"/>
      <c r="BX111" s="495"/>
      <c r="BY111" s="495"/>
      <c r="BZ111" s="495"/>
      <c r="CA111" s="495"/>
      <c r="CB111" s="495"/>
    </row>
    <row r="112" spans="16:80" ht="15.75">
      <c r="P112" s="495"/>
      <c r="Q112" s="495"/>
      <c r="R112" s="495"/>
      <c r="S112" s="495"/>
      <c r="T112" s="495"/>
      <c r="BF112" s="495"/>
      <c r="BG112" s="495"/>
      <c r="BH112" s="495"/>
      <c r="BI112" s="495"/>
      <c r="BJ112" s="495"/>
      <c r="BX112" s="484"/>
      <c r="BY112" s="484"/>
      <c r="BZ112" s="484"/>
      <c r="CA112" s="484"/>
      <c r="CB112" s="484"/>
    </row>
    <row r="113" spans="16:80" ht="15.75">
      <c r="P113" s="495"/>
      <c r="Q113" s="495"/>
      <c r="R113" s="495"/>
      <c r="S113" s="495"/>
      <c r="T113" s="495"/>
      <c r="BF113" s="484"/>
      <c r="BG113" s="484"/>
      <c r="BH113" s="484"/>
      <c r="BI113" s="484"/>
      <c r="BJ113" s="484"/>
      <c r="BX113" s="495"/>
      <c r="BY113" s="495"/>
      <c r="BZ113" s="495"/>
      <c r="CA113" s="495"/>
      <c r="CB113" s="495"/>
    </row>
    <row r="114" spans="16:80">
      <c r="P114" s="495"/>
      <c r="Q114" s="495"/>
      <c r="R114" s="495"/>
      <c r="S114" s="495"/>
      <c r="T114" s="495"/>
      <c r="BF114" s="495"/>
      <c r="BG114" s="495"/>
      <c r="BH114" s="495"/>
      <c r="BI114" s="495"/>
      <c r="BJ114" s="495"/>
      <c r="BX114" s="495"/>
      <c r="BY114" s="495"/>
      <c r="BZ114" s="495"/>
      <c r="CA114" s="495"/>
      <c r="CB114" s="495"/>
    </row>
    <row r="115" spans="16:80">
      <c r="P115" s="495"/>
      <c r="Q115" s="495"/>
      <c r="R115" s="495"/>
      <c r="S115" s="495"/>
      <c r="T115" s="495"/>
      <c r="BF115" s="495"/>
      <c r="BG115" s="495"/>
      <c r="BH115" s="495"/>
      <c r="BI115" s="495"/>
      <c r="BJ115" s="495"/>
      <c r="BX115" s="495"/>
      <c r="BY115" s="495"/>
      <c r="BZ115" s="495"/>
      <c r="CA115" s="495"/>
      <c r="CB115" s="495"/>
    </row>
    <row r="116" spans="16:80" ht="15.75">
      <c r="P116" s="484"/>
      <c r="Q116" s="484"/>
      <c r="R116" s="484"/>
      <c r="S116" s="484"/>
      <c r="T116" s="484"/>
      <c r="BF116" s="495"/>
      <c r="BG116" s="495"/>
      <c r="BH116" s="495"/>
      <c r="BI116" s="495"/>
      <c r="BJ116" s="495"/>
      <c r="BX116" s="495"/>
      <c r="BY116" s="495"/>
      <c r="BZ116" s="495"/>
      <c r="CA116" s="495"/>
      <c r="CB116" s="495"/>
    </row>
    <row r="117" spans="16:80">
      <c r="P117" s="495"/>
      <c r="Q117" s="495"/>
      <c r="R117" s="495"/>
      <c r="S117" s="495"/>
      <c r="T117" s="495"/>
      <c r="BF117" s="495"/>
      <c r="BG117" s="495"/>
      <c r="BH117" s="495"/>
      <c r="BI117" s="495"/>
      <c r="BJ117" s="495"/>
      <c r="BX117" s="495"/>
      <c r="BY117" s="495"/>
      <c r="BZ117" s="495"/>
      <c r="CA117" s="495"/>
      <c r="CB117" s="495"/>
    </row>
    <row r="118" spans="16:80">
      <c r="P118" s="495"/>
      <c r="Q118" s="495"/>
      <c r="R118" s="495"/>
      <c r="S118" s="495"/>
      <c r="T118" s="495"/>
      <c r="BF118" s="495"/>
      <c r="BG118" s="495"/>
      <c r="BH118" s="495"/>
      <c r="BI118" s="495"/>
      <c r="BJ118" s="495"/>
      <c r="BX118" s="495"/>
      <c r="BY118" s="495"/>
      <c r="BZ118" s="495"/>
      <c r="CA118" s="495"/>
      <c r="CB118" s="495"/>
    </row>
    <row r="119" spans="16:80" ht="15.75">
      <c r="P119" s="495"/>
      <c r="Q119" s="495"/>
      <c r="R119" s="495"/>
      <c r="S119" s="495"/>
      <c r="T119" s="495"/>
      <c r="BF119" s="484"/>
      <c r="BG119" s="484"/>
      <c r="BH119" s="484"/>
      <c r="BI119" s="484"/>
      <c r="BJ119" s="484"/>
      <c r="BX119" s="484"/>
      <c r="BY119" s="484"/>
      <c r="BZ119" s="484"/>
      <c r="CA119" s="484"/>
      <c r="CB119" s="484"/>
    </row>
    <row r="120" spans="16:80">
      <c r="P120" s="495"/>
      <c r="Q120" s="495"/>
      <c r="R120" s="495"/>
      <c r="S120" s="495"/>
      <c r="T120" s="495"/>
      <c r="BF120" s="495"/>
      <c r="BG120" s="495"/>
      <c r="BH120" s="495"/>
      <c r="BI120" s="495"/>
      <c r="BJ120" s="495"/>
      <c r="BX120" s="495"/>
      <c r="BY120" s="495"/>
      <c r="BZ120" s="495"/>
      <c r="CA120" s="495"/>
      <c r="CB120" s="495"/>
    </row>
    <row r="121" spans="16:80">
      <c r="P121" s="495"/>
      <c r="Q121" s="495"/>
      <c r="R121" s="495"/>
      <c r="S121" s="495"/>
      <c r="T121" s="495"/>
      <c r="BF121" s="495"/>
      <c r="BG121" s="495"/>
      <c r="BH121" s="495"/>
      <c r="BI121" s="495"/>
      <c r="BJ121" s="495"/>
      <c r="BX121" s="495"/>
      <c r="BY121" s="495"/>
      <c r="BZ121" s="495"/>
      <c r="CA121" s="495"/>
      <c r="CB121" s="495"/>
    </row>
    <row r="122" spans="16:80">
      <c r="P122" s="495"/>
      <c r="Q122" s="495"/>
      <c r="R122" s="495"/>
      <c r="S122" s="495"/>
      <c r="T122" s="495"/>
      <c r="BF122" s="495"/>
      <c r="BG122" s="495"/>
      <c r="BH122" s="495"/>
      <c r="BI122" s="495"/>
      <c r="BJ122" s="495"/>
      <c r="BX122" s="495"/>
      <c r="BY122" s="495"/>
      <c r="BZ122" s="495"/>
      <c r="CA122" s="495"/>
      <c r="CB122" s="495"/>
    </row>
    <row r="123" spans="16:80" ht="15.75">
      <c r="P123" s="484"/>
      <c r="Q123" s="484"/>
      <c r="R123" s="484"/>
      <c r="S123" s="484"/>
      <c r="T123" s="484"/>
      <c r="BF123" s="495"/>
      <c r="BG123" s="495"/>
      <c r="BH123" s="495"/>
      <c r="BI123" s="495"/>
      <c r="BJ123" s="495"/>
      <c r="BX123" s="495"/>
      <c r="BY123" s="495"/>
      <c r="BZ123" s="495"/>
      <c r="CA123" s="495"/>
      <c r="CB123" s="495"/>
    </row>
    <row r="124" spans="16:80">
      <c r="P124" s="495"/>
      <c r="Q124" s="495"/>
      <c r="R124" s="495"/>
      <c r="S124" s="495"/>
      <c r="T124" s="495"/>
      <c r="BF124" s="495"/>
      <c r="BG124" s="495"/>
      <c r="BH124" s="495"/>
      <c r="BI124" s="495"/>
      <c r="BJ124" s="495"/>
      <c r="BX124" s="495"/>
      <c r="BY124" s="495"/>
      <c r="BZ124" s="495"/>
      <c r="CA124" s="495"/>
      <c r="CB124" s="495"/>
    </row>
    <row r="125" spans="16:80" ht="15.75">
      <c r="P125" s="495"/>
      <c r="Q125" s="495"/>
      <c r="R125" s="495"/>
      <c r="S125" s="495"/>
      <c r="T125" s="495"/>
      <c r="BF125" s="495"/>
      <c r="BG125" s="495"/>
      <c r="BH125" s="495"/>
      <c r="BI125" s="495"/>
      <c r="BJ125" s="495"/>
      <c r="BX125" s="484"/>
      <c r="BY125" s="484"/>
      <c r="BZ125" s="484"/>
      <c r="CA125" s="484"/>
      <c r="CB125" s="484"/>
    </row>
    <row r="126" spans="16:80" ht="15.75">
      <c r="P126" s="495"/>
      <c r="Q126" s="495"/>
      <c r="R126" s="495"/>
      <c r="S126" s="495"/>
      <c r="T126" s="495"/>
      <c r="BF126" s="484"/>
      <c r="BG126" s="484"/>
      <c r="BH126" s="484"/>
      <c r="BI126" s="484"/>
      <c r="BJ126" s="484"/>
      <c r="BX126" s="495"/>
      <c r="BY126" s="495"/>
      <c r="BZ126" s="495"/>
      <c r="CA126" s="495"/>
      <c r="CB126" s="495"/>
    </row>
    <row r="127" spans="16:80">
      <c r="P127" s="495"/>
      <c r="Q127" s="495"/>
      <c r="R127" s="495"/>
      <c r="S127" s="495"/>
      <c r="T127" s="495"/>
      <c r="BF127" s="495"/>
      <c r="BG127" s="495"/>
      <c r="BH127" s="495"/>
      <c r="BI127" s="495"/>
      <c r="BJ127" s="495"/>
      <c r="BX127" s="495"/>
      <c r="BY127" s="495"/>
      <c r="BZ127" s="495"/>
      <c r="CA127" s="495"/>
      <c r="CB127" s="495"/>
    </row>
    <row r="128" spans="16:80">
      <c r="P128" s="495"/>
      <c r="Q128" s="495"/>
      <c r="R128" s="495"/>
      <c r="S128" s="495"/>
      <c r="T128" s="495"/>
      <c r="BF128" s="495"/>
      <c r="BG128" s="495"/>
      <c r="BH128" s="495"/>
      <c r="BI128" s="495"/>
      <c r="BJ128" s="495"/>
      <c r="BX128" s="495"/>
      <c r="BY128" s="495"/>
      <c r="BZ128" s="495"/>
      <c r="CA128" s="495"/>
      <c r="CB128" s="495"/>
    </row>
    <row r="129" spans="16:80" ht="15.75">
      <c r="P129" s="484"/>
      <c r="Q129" s="484"/>
      <c r="R129" s="484"/>
      <c r="S129" s="484"/>
      <c r="T129" s="484"/>
      <c r="BF129" s="495"/>
      <c r="BG129" s="495"/>
      <c r="BH129" s="495"/>
      <c r="BI129" s="495"/>
      <c r="BJ129" s="495"/>
      <c r="BX129" s="495"/>
      <c r="BY129" s="495"/>
      <c r="BZ129" s="495"/>
      <c r="CA129" s="495"/>
      <c r="CB129" s="495"/>
    </row>
    <row r="130" spans="16:80" ht="15.75">
      <c r="P130" s="495"/>
      <c r="Q130" s="495"/>
      <c r="R130" s="495"/>
      <c r="S130" s="495"/>
      <c r="T130" s="495"/>
      <c r="BF130" s="495"/>
      <c r="BG130" s="495"/>
      <c r="BH130" s="495"/>
      <c r="BI130" s="495"/>
      <c r="BJ130" s="495"/>
      <c r="BX130" s="484"/>
      <c r="BY130" s="484"/>
      <c r="BZ130" s="484"/>
      <c r="CA130" s="484"/>
      <c r="CB130" s="484"/>
    </row>
    <row r="131" spans="16:80">
      <c r="P131" s="495"/>
      <c r="Q131" s="495"/>
      <c r="R131" s="495"/>
      <c r="S131" s="495"/>
      <c r="T131" s="495"/>
      <c r="BF131" s="495"/>
      <c r="BG131" s="495"/>
      <c r="BH131" s="495"/>
      <c r="BI131" s="495"/>
      <c r="BJ131" s="495"/>
      <c r="BX131" s="495"/>
      <c r="BY131" s="495"/>
      <c r="BZ131" s="495"/>
      <c r="CA131" s="495"/>
      <c r="CB131" s="495"/>
    </row>
    <row r="132" spans="16:80" ht="15.75">
      <c r="P132" s="495"/>
      <c r="Q132" s="495"/>
      <c r="R132" s="495"/>
      <c r="S132" s="495"/>
      <c r="T132" s="495"/>
      <c r="BF132" s="484"/>
      <c r="BG132" s="484"/>
      <c r="BH132" s="484"/>
      <c r="BI132" s="484"/>
      <c r="BJ132" s="484"/>
      <c r="BX132" s="495"/>
      <c r="BY132" s="495"/>
      <c r="BZ132" s="495"/>
      <c r="CA132" s="495"/>
      <c r="CB132" s="495"/>
    </row>
    <row r="133" spans="16:80">
      <c r="P133" s="495"/>
      <c r="Q133" s="495"/>
      <c r="R133" s="495"/>
      <c r="S133" s="495"/>
      <c r="T133" s="495"/>
      <c r="BF133" s="495"/>
      <c r="BG133" s="495"/>
      <c r="BH133" s="495"/>
      <c r="BI133" s="495"/>
      <c r="BJ133" s="495"/>
      <c r="BX133" s="495"/>
      <c r="BY133" s="495"/>
      <c r="BZ133" s="495"/>
      <c r="CA133" s="495"/>
      <c r="CB133" s="495"/>
    </row>
    <row r="134" spans="16:80" ht="15.75">
      <c r="P134" s="484"/>
      <c r="Q134" s="484"/>
      <c r="R134" s="484"/>
      <c r="S134" s="484"/>
      <c r="T134" s="484"/>
      <c r="BF134" s="495"/>
      <c r="BG134" s="495"/>
      <c r="BH134" s="495"/>
      <c r="BI134" s="495"/>
      <c r="BJ134" s="495"/>
      <c r="BX134" s="484"/>
      <c r="BY134" s="484"/>
      <c r="BZ134" s="484"/>
      <c r="CA134" s="484"/>
      <c r="CB134" s="484"/>
    </row>
    <row r="135" spans="16:80">
      <c r="P135" s="495"/>
      <c r="Q135" s="495"/>
      <c r="R135" s="495"/>
      <c r="S135" s="495"/>
      <c r="T135" s="495"/>
      <c r="BF135" s="495"/>
      <c r="BG135" s="495"/>
      <c r="BH135" s="495"/>
      <c r="BI135" s="495"/>
      <c r="BJ135" s="495"/>
      <c r="BX135" s="495"/>
      <c r="BY135" s="495"/>
      <c r="BZ135" s="495"/>
      <c r="CA135" s="495"/>
      <c r="CB135" s="495"/>
    </row>
    <row r="136" spans="16:80">
      <c r="P136" s="495"/>
      <c r="Q136" s="495"/>
      <c r="R136" s="495"/>
      <c r="S136" s="495"/>
      <c r="T136" s="495"/>
      <c r="BF136" s="495"/>
      <c r="BG136" s="495"/>
      <c r="BH136" s="495"/>
      <c r="BI136" s="495"/>
      <c r="BJ136" s="495"/>
      <c r="BX136" s="495"/>
      <c r="BY136" s="495"/>
      <c r="BZ136" s="495"/>
      <c r="CA136" s="495"/>
      <c r="CB136" s="495"/>
    </row>
    <row r="137" spans="16:80" ht="15.75">
      <c r="P137" s="495"/>
      <c r="Q137" s="495"/>
      <c r="R137" s="495"/>
      <c r="S137" s="495"/>
      <c r="T137" s="495"/>
      <c r="BF137" s="484"/>
      <c r="BG137" s="484"/>
      <c r="BH137" s="484"/>
      <c r="BI137" s="484"/>
      <c r="BJ137" s="484"/>
      <c r="BX137" s="495"/>
      <c r="BY137" s="495"/>
      <c r="BZ137" s="495"/>
      <c r="CA137" s="495"/>
      <c r="CB137" s="495"/>
    </row>
    <row r="138" spans="16:80" ht="15.75">
      <c r="P138" s="484"/>
      <c r="Q138" s="484"/>
      <c r="R138" s="484"/>
      <c r="S138" s="484"/>
      <c r="T138" s="484"/>
      <c r="BF138" s="495"/>
      <c r="BG138" s="495"/>
      <c r="BH138" s="495"/>
      <c r="BI138" s="495"/>
      <c r="BJ138" s="495"/>
      <c r="BX138" s="495"/>
      <c r="BY138" s="495"/>
      <c r="BZ138" s="495"/>
      <c r="CA138" s="495"/>
      <c r="CB138" s="495"/>
    </row>
    <row r="139" spans="16:80">
      <c r="P139" s="495"/>
      <c r="Q139" s="495"/>
      <c r="R139" s="495"/>
      <c r="S139" s="495"/>
      <c r="T139" s="495"/>
      <c r="BF139" s="495"/>
      <c r="BG139" s="495"/>
      <c r="BH139" s="495"/>
      <c r="BI139" s="495"/>
      <c r="BJ139" s="495"/>
      <c r="BX139" s="495"/>
      <c r="BY139" s="495"/>
      <c r="BZ139" s="495"/>
      <c r="CA139" s="495"/>
      <c r="CB139" s="495"/>
    </row>
    <row r="140" spans="16:80">
      <c r="P140" s="495"/>
      <c r="Q140" s="495"/>
      <c r="R140" s="495"/>
      <c r="S140" s="495"/>
      <c r="T140" s="495"/>
      <c r="BF140" s="495"/>
      <c r="BG140" s="495"/>
      <c r="BH140" s="495"/>
      <c r="BI140" s="495"/>
      <c r="BJ140" s="495"/>
      <c r="BX140" s="495"/>
      <c r="BY140" s="495"/>
      <c r="BZ140" s="495"/>
      <c r="CA140" s="495"/>
      <c r="CB140" s="495"/>
    </row>
    <row r="141" spans="16:80" ht="15.75">
      <c r="P141" s="495"/>
      <c r="Q141" s="495"/>
      <c r="R141" s="495"/>
      <c r="S141" s="495"/>
      <c r="T141" s="495"/>
      <c r="BF141" s="484"/>
      <c r="BG141" s="484"/>
      <c r="BH141" s="484"/>
      <c r="BI141" s="484"/>
      <c r="BJ141" s="484"/>
      <c r="BX141" s="495"/>
      <c r="BY141" s="495"/>
      <c r="BZ141" s="495"/>
      <c r="CA141" s="495"/>
      <c r="CB141" s="495"/>
    </row>
    <row r="142" spans="16:80">
      <c r="P142" s="495"/>
      <c r="Q142" s="495"/>
      <c r="R142" s="495"/>
      <c r="S142" s="495"/>
      <c r="T142" s="495"/>
      <c r="BF142" s="495"/>
      <c r="BG142" s="495"/>
      <c r="BH142" s="495"/>
      <c r="BI142" s="495"/>
      <c r="BJ142" s="495"/>
      <c r="BX142" s="495"/>
      <c r="BY142" s="495"/>
      <c r="BZ142" s="495"/>
      <c r="CA142" s="495"/>
      <c r="CB142" s="495"/>
    </row>
    <row r="143" spans="16:80">
      <c r="P143" s="495"/>
      <c r="Q143" s="495"/>
      <c r="R143" s="495"/>
      <c r="S143" s="495"/>
      <c r="T143" s="495"/>
      <c r="BF143" s="495"/>
      <c r="BG143" s="495"/>
      <c r="BH143" s="495"/>
      <c r="BI143" s="495"/>
      <c r="BJ143" s="495"/>
      <c r="BX143" s="495"/>
      <c r="BY143" s="495"/>
      <c r="BZ143" s="495"/>
      <c r="CA143" s="495"/>
      <c r="CB143" s="495"/>
    </row>
    <row r="144" spans="16:80" ht="15.75">
      <c r="P144" s="495"/>
      <c r="Q144" s="495"/>
      <c r="R144" s="495"/>
      <c r="S144" s="495"/>
      <c r="T144" s="495"/>
      <c r="BF144" s="495"/>
      <c r="BG144" s="495"/>
      <c r="BH144" s="495"/>
      <c r="BI144" s="495"/>
      <c r="BJ144" s="495"/>
      <c r="BX144" s="484"/>
      <c r="BY144" s="484"/>
      <c r="BZ144" s="484"/>
      <c r="CA144" s="484"/>
      <c r="CB144" s="484"/>
    </row>
    <row r="145" spans="16:80">
      <c r="P145" s="495"/>
      <c r="Q145" s="495"/>
      <c r="R145" s="495"/>
      <c r="S145" s="495"/>
      <c r="T145" s="495"/>
      <c r="BF145" s="495"/>
      <c r="BG145" s="495"/>
      <c r="BH145" s="495"/>
      <c r="BI145" s="495"/>
      <c r="BJ145" s="495"/>
      <c r="BX145" s="495"/>
      <c r="BY145" s="495"/>
      <c r="BZ145" s="495"/>
      <c r="CA145" s="495"/>
      <c r="CB145" s="495"/>
    </row>
    <row r="146" spans="16:80">
      <c r="P146" s="495"/>
      <c r="Q146" s="495"/>
      <c r="R146" s="495"/>
      <c r="S146" s="495"/>
      <c r="T146" s="495"/>
      <c r="BF146" s="495"/>
      <c r="BG146" s="495"/>
      <c r="BH146" s="495"/>
      <c r="BI146" s="495"/>
      <c r="BJ146" s="495"/>
      <c r="BX146" s="495"/>
      <c r="BY146" s="495"/>
      <c r="BZ146" s="495"/>
      <c r="CA146" s="495"/>
      <c r="CB146" s="495"/>
    </row>
    <row r="147" spans="16:80">
      <c r="P147" s="495"/>
      <c r="Q147" s="495"/>
      <c r="R147" s="495"/>
      <c r="S147" s="495"/>
      <c r="T147" s="495"/>
      <c r="BF147" s="495"/>
      <c r="BG147" s="495"/>
      <c r="BH147" s="495"/>
      <c r="BI147" s="495"/>
      <c r="BJ147" s="495"/>
      <c r="BX147" s="495"/>
      <c r="BY147" s="495"/>
      <c r="BZ147" s="495"/>
      <c r="CA147" s="495"/>
      <c r="CB147" s="495"/>
    </row>
    <row r="148" spans="16:80" ht="15.75">
      <c r="P148" s="484"/>
      <c r="Q148" s="484"/>
      <c r="R148" s="484"/>
      <c r="S148" s="484"/>
      <c r="T148" s="484"/>
      <c r="BF148" s="495"/>
      <c r="BG148" s="495"/>
      <c r="BH148" s="495"/>
      <c r="BI148" s="495"/>
      <c r="BJ148" s="495"/>
      <c r="BX148" s="495"/>
      <c r="BY148" s="495"/>
      <c r="BZ148" s="495"/>
      <c r="CA148" s="495"/>
      <c r="CB148" s="495"/>
    </row>
    <row r="149" spans="16:80">
      <c r="P149" s="495"/>
      <c r="Q149" s="495"/>
      <c r="R149" s="495"/>
      <c r="S149" s="495"/>
      <c r="T149" s="495"/>
      <c r="BF149" s="495"/>
      <c r="BG149" s="495"/>
      <c r="BH149" s="495"/>
      <c r="BI149" s="495"/>
      <c r="BJ149" s="495"/>
      <c r="BX149" s="495"/>
      <c r="BY149" s="495"/>
      <c r="BZ149" s="495"/>
      <c r="CA149" s="495"/>
      <c r="CB149" s="495"/>
    </row>
    <row r="150" spans="16:80">
      <c r="P150" s="495"/>
      <c r="Q150" s="495"/>
      <c r="R150" s="495"/>
      <c r="S150" s="495"/>
      <c r="T150" s="495"/>
      <c r="BF150" s="495"/>
      <c r="BG150" s="495"/>
      <c r="BH150" s="495"/>
      <c r="BI150" s="495"/>
      <c r="BJ150" s="495"/>
      <c r="BX150" s="495"/>
      <c r="BY150" s="495"/>
      <c r="BZ150" s="495"/>
      <c r="CA150" s="495"/>
      <c r="CB150" s="509"/>
    </row>
    <row r="151" spans="16:80" ht="15.75">
      <c r="P151" s="495"/>
      <c r="Q151" s="495"/>
      <c r="R151" s="495"/>
      <c r="S151" s="495"/>
      <c r="T151" s="495"/>
      <c r="BF151" s="484"/>
      <c r="BG151" s="484"/>
      <c r="BH151" s="484"/>
      <c r="BI151" s="484"/>
      <c r="BJ151" s="484"/>
      <c r="BX151" s="484"/>
      <c r="BY151" s="484"/>
      <c r="BZ151" s="484"/>
      <c r="CA151" s="484"/>
      <c r="CB151" s="484"/>
    </row>
    <row r="152" spans="16:80">
      <c r="P152" s="495"/>
      <c r="Q152" s="495"/>
      <c r="R152" s="495"/>
      <c r="S152" s="495"/>
      <c r="T152" s="495"/>
      <c r="BF152" s="495"/>
      <c r="BG152" s="495"/>
      <c r="BH152" s="495"/>
      <c r="BI152" s="495"/>
      <c r="BJ152" s="495"/>
    </row>
    <row r="153" spans="16:80">
      <c r="P153" s="495"/>
      <c r="Q153" s="495"/>
      <c r="R153" s="495"/>
      <c r="S153" s="495"/>
      <c r="T153" s="495"/>
      <c r="BF153" s="495"/>
      <c r="BG153" s="495"/>
      <c r="BH153" s="495"/>
      <c r="BI153" s="495"/>
      <c r="BJ153" s="495"/>
    </row>
    <row r="154" spans="16:80">
      <c r="P154" s="495"/>
      <c r="Q154" s="495"/>
      <c r="R154" s="495"/>
      <c r="S154" s="495"/>
      <c r="T154" s="495"/>
      <c r="BF154" s="495"/>
      <c r="BG154" s="495"/>
      <c r="BH154" s="495"/>
      <c r="BI154" s="495"/>
      <c r="BJ154" s="495"/>
    </row>
    <row r="155" spans="16:80" ht="15.75">
      <c r="P155" s="484"/>
      <c r="Q155" s="484"/>
      <c r="R155" s="484"/>
      <c r="S155" s="484"/>
      <c r="T155" s="484"/>
      <c r="BF155" s="495"/>
      <c r="BG155" s="495"/>
      <c r="BH155" s="495"/>
      <c r="BI155" s="495"/>
      <c r="BJ155" s="495"/>
    </row>
    <row r="156" spans="16:80">
      <c r="BF156" s="495"/>
      <c r="BG156" s="495"/>
      <c r="BH156" s="495"/>
      <c r="BI156" s="495"/>
      <c r="BJ156" s="495"/>
    </row>
    <row r="157" spans="16:80">
      <c r="BF157" s="495"/>
      <c r="BG157" s="495"/>
      <c r="BH157" s="495"/>
      <c r="BI157" s="495"/>
      <c r="BJ157" s="495"/>
    </row>
    <row r="158" spans="16:80" ht="15.75">
      <c r="BF158" s="484"/>
      <c r="BG158" s="484"/>
      <c r="BH158" s="484"/>
      <c r="BI158" s="484"/>
      <c r="BJ158" s="484"/>
    </row>
  </sheetData>
  <mergeCells count="13">
    <mergeCell ref="BR4:BS4"/>
    <mergeCell ref="BH5:BI5"/>
    <mergeCell ref="BJ5:BK5"/>
    <mergeCell ref="BL5:BM5"/>
    <mergeCell ref="BN5:BO5"/>
    <mergeCell ref="BP5:BQ5"/>
    <mergeCell ref="BR5:BS5"/>
    <mergeCell ref="R4:Z4"/>
    <mergeCell ref="AH4:AI4"/>
    <mergeCell ref="AJ4:AN4"/>
    <mergeCell ref="BH4:BQ4"/>
    <mergeCell ref="T7:Y7"/>
    <mergeCell ref="AK7:AP7"/>
  </mergeCells>
  <phoneticPr fontId="17"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sheetPr codeName="Sheet15"/>
  <dimension ref="A1:C54"/>
  <sheetViews>
    <sheetView topLeftCell="A25" workbookViewId="0">
      <selection activeCell="A70" sqref="A70"/>
    </sheetView>
  </sheetViews>
  <sheetFormatPr defaultRowHeight="12.75"/>
  <cols>
    <col min="1" max="1" width="110.42578125" style="34" customWidth="1"/>
    <col min="2" max="2" width="12.5703125" style="34" customWidth="1"/>
    <col min="3" max="16384" width="9.140625" style="34"/>
  </cols>
  <sheetData>
    <row r="1" spans="1:3">
      <c r="A1" s="34" t="s">
        <v>183</v>
      </c>
      <c r="B1" s="75" t="s">
        <v>184</v>
      </c>
      <c r="C1" s="75" t="s">
        <v>185</v>
      </c>
    </row>
    <row r="2" spans="1:3">
      <c r="A2" s="224" t="s">
        <v>186</v>
      </c>
      <c r="B2" s="730" t="s">
        <v>187</v>
      </c>
      <c r="C2" s="731"/>
    </row>
    <row r="3" spans="1:3">
      <c r="A3" s="34" t="s">
        <v>188</v>
      </c>
      <c r="B3" s="55">
        <f>70/20</f>
        <v>3.5</v>
      </c>
      <c r="C3" s="236">
        <f>100/20</f>
        <v>5</v>
      </c>
    </row>
    <row r="4" spans="1:3">
      <c r="A4" s="34" t="s">
        <v>189</v>
      </c>
      <c r="B4" s="75">
        <f>25/20</f>
        <v>1.25</v>
      </c>
      <c r="C4" s="75">
        <f>50/20</f>
        <v>2.5</v>
      </c>
    </row>
    <row r="6" spans="1:3">
      <c r="A6" s="224" t="s">
        <v>190</v>
      </c>
    </row>
    <row r="7" spans="1:3">
      <c r="A7" s="34" t="s">
        <v>191</v>
      </c>
    </row>
    <row r="8" spans="1:3">
      <c r="A8" s="34" t="s">
        <v>192</v>
      </c>
    </row>
    <row r="9" spans="1:3">
      <c r="A9" s="34" t="s">
        <v>193</v>
      </c>
    </row>
    <row r="10" spans="1:3">
      <c r="A10" s="34" t="s">
        <v>194</v>
      </c>
    </row>
    <row r="11" spans="1:3">
      <c r="A11" s="34" t="s">
        <v>195</v>
      </c>
    </row>
    <row r="12" spans="1:3">
      <c r="A12" s="34" t="s">
        <v>196</v>
      </c>
    </row>
    <row r="13" spans="1:3">
      <c r="A13" s="34" t="s">
        <v>197</v>
      </c>
    </row>
    <row r="14" spans="1:3">
      <c r="B14" s="75" t="s">
        <v>184</v>
      </c>
      <c r="C14" s="75" t="s">
        <v>185</v>
      </c>
    </row>
    <row r="15" spans="1:3">
      <c r="A15" s="75" t="s">
        <v>198</v>
      </c>
      <c r="B15" s="730" t="s">
        <v>187</v>
      </c>
      <c r="C15" s="731"/>
    </row>
    <row r="16" spans="1:3">
      <c r="A16" s="75" t="s">
        <v>199</v>
      </c>
      <c r="B16" s="75">
        <v>0.8</v>
      </c>
      <c r="C16" s="75">
        <v>1.2</v>
      </c>
    </row>
    <row r="17" spans="1:3">
      <c r="A17" s="75" t="s">
        <v>200</v>
      </c>
      <c r="B17" s="75">
        <v>0.6</v>
      </c>
      <c r="C17" s="75">
        <v>0.9</v>
      </c>
    </row>
    <row r="18" spans="1:3">
      <c r="A18" s="75" t="s">
        <v>201</v>
      </c>
      <c r="B18" s="75">
        <v>0.4</v>
      </c>
      <c r="C18" s="75">
        <v>0.7</v>
      </c>
    </row>
    <row r="20" spans="1:3">
      <c r="A20" s="224" t="s">
        <v>202</v>
      </c>
    </row>
    <row r="21" spans="1:3">
      <c r="A21" s="34" t="s">
        <v>203</v>
      </c>
    </row>
    <row r="22" spans="1:3">
      <c r="A22" s="34" t="s">
        <v>204</v>
      </c>
    </row>
    <row r="23" spans="1:3">
      <c r="A23" s="34" t="s">
        <v>205</v>
      </c>
    </row>
    <row r="24" spans="1:3">
      <c r="A24" s="34" t="s">
        <v>206</v>
      </c>
    </row>
    <row r="25" spans="1:3">
      <c r="A25" s="34" t="s">
        <v>207</v>
      </c>
    </row>
    <row r="26" spans="1:3">
      <c r="A26" s="34" t="s">
        <v>208</v>
      </c>
    </row>
    <row r="27" spans="1:3">
      <c r="A27" s="34" t="s">
        <v>209</v>
      </c>
    </row>
    <row r="28" spans="1:3">
      <c r="A28" s="34" t="s">
        <v>210</v>
      </c>
    </row>
    <row r="29" spans="1:3">
      <c r="A29" s="34" t="s">
        <v>211</v>
      </c>
    </row>
    <row r="31" spans="1:3">
      <c r="A31" s="224" t="s">
        <v>212</v>
      </c>
    </row>
    <row r="32" spans="1:3">
      <c r="A32" s="34" t="s">
        <v>213</v>
      </c>
    </row>
    <row r="33" spans="1:3">
      <c r="A33" s="34" t="s">
        <v>214</v>
      </c>
    </row>
    <row r="34" spans="1:3">
      <c r="A34" s="34" t="s">
        <v>215</v>
      </c>
    </row>
    <row r="35" spans="1:3">
      <c r="A35" s="34" t="s">
        <v>216</v>
      </c>
    </row>
    <row r="37" spans="1:3">
      <c r="A37" s="34" t="s">
        <v>217</v>
      </c>
    </row>
    <row r="38" spans="1:3">
      <c r="A38" s="34" t="s">
        <v>218</v>
      </c>
    </row>
    <row r="39" spans="1:3">
      <c r="A39" s="34" t="s">
        <v>219</v>
      </c>
    </row>
    <row r="40" spans="1:3">
      <c r="A40" s="34" t="s">
        <v>220</v>
      </c>
    </row>
    <row r="42" spans="1:3">
      <c r="A42" s="224" t="s">
        <v>221</v>
      </c>
      <c r="B42" s="34" t="s">
        <v>222</v>
      </c>
    </row>
    <row r="43" spans="1:3">
      <c r="A43" s="75" t="s">
        <v>223</v>
      </c>
      <c r="B43" s="75" t="s">
        <v>224</v>
      </c>
      <c r="C43" s="75" t="s">
        <v>225</v>
      </c>
    </row>
    <row r="44" spans="1:3">
      <c r="A44" s="75" t="s">
        <v>226</v>
      </c>
      <c r="B44" s="237">
        <v>1.3</v>
      </c>
      <c r="C44" s="237" t="s">
        <v>227</v>
      </c>
    </row>
    <row r="45" spans="1:3">
      <c r="A45" s="75" t="s">
        <v>228</v>
      </c>
      <c r="B45" s="237">
        <v>1.4</v>
      </c>
      <c r="C45" s="237" t="s">
        <v>229</v>
      </c>
    </row>
    <row r="46" spans="1:3">
      <c r="A46" s="75" t="s">
        <v>230</v>
      </c>
      <c r="B46" s="237">
        <v>0.7</v>
      </c>
      <c r="C46" s="237" t="s">
        <v>231</v>
      </c>
    </row>
    <row r="47" spans="1:3">
      <c r="A47" s="75" t="s">
        <v>232</v>
      </c>
      <c r="B47" s="237">
        <v>33.5</v>
      </c>
      <c r="C47" s="237" t="s">
        <v>233</v>
      </c>
    </row>
    <row r="49" spans="1:1">
      <c r="A49" s="224" t="s">
        <v>234</v>
      </c>
    </row>
    <row r="50" spans="1:1">
      <c r="A50" s="34" t="s">
        <v>235</v>
      </c>
    </row>
    <row r="51" spans="1:1">
      <c r="A51" s="34" t="s">
        <v>236</v>
      </c>
    </row>
    <row r="52" spans="1:1">
      <c r="A52" s="34" t="s">
        <v>237</v>
      </c>
    </row>
    <row r="53" spans="1:1">
      <c r="A53" s="34" t="s">
        <v>238</v>
      </c>
    </row>
    <row r="54" spans="1:1">
      <c r="A54" s="34" t="s">
        <v>239</v>
      </c>
    </row>
  </sheetData>
  <mergeCells count="2">
    <mergeCell ref="B2:C2"/>
    <mergeCell ref="B15:C15"/>
  </mergeCells>
  <phoneticPr fontId="17"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dimension ref="A1:BD54"/>
  <sheetViews>
    <sheetView workbookViewId="0">
      <selection activeCell="E3" sqref="E3:E30"/>
    </sheetView>
  </sheetViews>
  <sheetFormatPr defaultRowHeight="12.75"/>
  <cols>
    <col min="1" max="2" width="21.85546875" style="637" customWidth="1"/>
    <col min="3" max="3" width="40.28515625" style="637" bestFit="1" customWidth="1"/>
    <col min="4" max="4" width="12.28515625" style="637" bestFit="1" customWidth="1"/>
    <col min="5" max="5" width="30.5703125" style="637" bestFit="1" customWidth="1"/>
    <col min="6" max="8" width="9.140625" style="637"/>
    <col min="9" max="9" width="23.140625" style="637" customWidth="1"/>
    <col min="10" max="16384" width="9.140625" style="637"/>
  </cols>
  <sheetData>
    <row r="1" spans="1:56" ht="15.75" thickBot="1">
      <c r="A1" s="629" t="s">
        <v>795</v>
      </c>
      <c r="B1" s="629" t="s">
        <v>796</v>
      </c>
      <c r="C1" s="629" t="s">
        <v>797</v>
      </c>
      <c r="D1" s="629" t="s">
        <v>798</v>
      </c>
      <c r="E1" s="629" t="s">
        <v>799</v>
      </c>
      <c r="F1" s="629" t="s">
        <v>800</v>
      </c>
      <c r="G1" s="629" t="s">
        <v>801</v>
      </c>
      <c r="H1" s="629" t="s">
        <v>802</v>
      </c>
      <c r="I1" s="629" t="s">
        <v>803</v>
      </c>
      <c r="J1" s="629" t="s">
        <v>387</v>
      </c>
      <c r="K1" s="630">
        <v>2016</v>
      </c>
      <c r="L1" s="631">
        <v>2017</v>
      </c>
      <c r="M1" s="631">
        <v>2018</v>
      </c>
      <c r="N1" s="631">
        <v>2019</v>
      </c>
      <c r="O1" s="631">
        <v>2020</v>
      </c>
      <c r="P1" s="631">
        <v>2021</v>
      </c>
      <c r="Q1" s="631">
        <v>2022</v>
      </c>
      <c r="R1" s="631">
        <v>2023</v>
      </c>
      <c r="S1" s="631">
        <v>2024</v>
      </c>
      <c r="T1" s="631">
        <v>2025</v>
      </c>
      <c r="U1" s="631">
        <v>2026</v>
      </c>
      <c r="V1" s="631">
        <v>2027</v>
      </c>
      <c r="W1" s="631">
        <v>2028</v>
      </c>
      <c r="X1" s="631">
        <v>2029</v>
      </c>
      <c r="Y1" s="631">
        <v>2030</v>
      </c>
      <c r="Z1" s="631">
        <v>2031</v>
      </c>
      <c r="AA1" s="631">
        <v>2032</v>
      </c>
      <c r="AB1" s="631">
        <v>2033</v>
      </c>
      <c r="AC1" s="631">
        <v>2034</v>
      </c>
      <c r="AD1" s="631">
        <v>2035</v>
      </c>
      <c r="AE1" s="632" t="s">
        <v>378</v>
      </c>
      <c r="AF1" s="633" t="s">
        <v>579</v>
      </c>
      <c r="AG1" s="634"/>
      <c r="AH1" s="634"/>
      <c r="AI1" s="634"/>
      <c r="AJ1" s="634"/>
      <c r="AK1" s="634"/>
      <c r="AL1" s="634"/>
      <c r="AM1" s="634"/>
      <c r="AN1" s="634"/>
      <c r="AO1" s="634"/>
      <c r="AP1" s="634"/>
      <c r="AQ1" s="635"/>
      <c r="AR1" s="636"/>
      <c r="AS1" s="633" t="s">
        <v>580</v>
      </c>
      <c r="AT1" s="634"/>
      <c r="AU1" s="634"/>
      <c r="AV1" s="634"/>
      <c r="AW1" s="634"/>
      <c r="AX1" s="634"/>
      <c r="AY1" s="634"/>
      <c r="AZ1" s="634"/>
      <c r="BA1" s="634"/>
      <c r="BB1" s="634"/>
      <c r="BC1" s="634"/>
      <c r="BD1" s="635"/>
    </row>
    <row r="2" spans="1:56" ht="15">
      <c r="A2" s="629"/>
      <c r="B2" s="629"/>
      <c r="C2" s="629"/>
      <c r="D2" s="629"/>
      <c r="E2" s="629"/>
      <c r="F2" s="629" t="s">
        <v>592</v>
      </c>
      <c r="G2" s="629" t="s">
        <v>385</v>
      </c>
      <c r="H2" s="629" t="s">
        <v>386</v>
      </c>
      <c r="I2" s="629">
        <v>1</v>
      </c>
      <c r="J2" s="629"/>
      <c r="K2" s="638" t="str">
        <f t="shared" ref="K2:AD2" si="0">CONCATENATE("aMW_",K$1)</f>
        <v>aMW_2016</v>
      </c>
      <c r="L2" s="639" t="str">
        <f t="shared" si="0"/>
        <v>aMW_2017</v>
      </c>
      <c r="M2" s="639" t="str">
        <f t="shared" si="0"/>
        <v>aMW_2018</v>
      </c>
      <c r="N2" s="639" t="str">
        <f t="shared" si="0"/>
        <v>aMW_2019</v>
      </c>
      <c r="O2" s="639" t="str">
        <f t="shared" si="0"/>
        <v>aMW_2020</v>
      </c>
      <c r="P2" s="639" t="str">
        <f t="shared" si="0"/>
        <v>aMW_2021</v>
      </c>
      <c r="Q2" s="639" t="str">
        <f t="shared" si="0"/>
        <v>aMW_2022</v>
      </c>
      <c r="R2" s="639" t="str">
        <f t="shared" si="0"/>
        <v>aMW_2023</v>
      </c>
      <c r="S2" s="639" t="str">
        <f t="shared" si="0"/>
        <v>aMW_2024</v>
      </c>
      <c r="T2" s="639" t="str">
        <f t="shared" si="0"/>
        <v>aMW_2025</v>
      </c>
      <c r="U2" s="639" t="str">
        <f t="shared" si="0"/>
        <v>aMW_2026</v>
      </c>
      <c r="V2" s="639" t="str">
        <f t="shared" si="0"/>
        <v>aMW_2027</v>
      </c>
      <c r="W2" s="639" t="str">
        <f t="shared" si="0"/>
        <v>aMW_2028</v>
      </c>
      <c r="X2" s="639" t="str">
        <f t="shared" si="0"/>
        <v>aMW_2029</v>
      </c>
      <c r="Y2" s="639" t="str">
        <f t="shared" si="0"/>
        <v>aMW_2030</v>
      </c>
      <c r="Z2" s="639" t="str">
        <f t="shared" si="0"/>
        <v>aMW_2031</v>
      </c>
      <c r="AA2" s="639" t="str">
        <f t="shared" si="0"/>
        <v>aMW_2032</v>
      </c>
      <c r="AB2" s="639" t="str">
        <f t="shared" si="0"/>
        <v>aMW_2033</v>
      </c>
      <c r="AC2" s="639" t="str">
        <f t="shared" si="0"/>
        <v>aMW_2034</v>
      </c>
      <c r="AD2" s="639" t="str">
        <f t="shared" si="0"/>
        <v>aMW_2035</v>
      </c>
      <c r="AE2" s="640" t="s">
        <v>378</v>
      </c>
      <c r="AF2" s="641" t="s">
        <v>593</v>
      </c>
      <c r="AG2" s="641" t="s">
        <v>594</v>
      </c>
      <c r="AH2" s="641" t="s">
        <v>595</v>
      </c>
      <c r="AI2" s="641" t="s">
        <v>596</v>
      </c>
      <c r="AJ2" s="641" t="s">
        <v>597</v>
      </c>
      <c r="AK2" s="641" t="s">
        <v>598</v>
      </c>
      <c r="AL2" s="641" t="s">
        <v>599</v>
      </c>
      <c r="AM2" s="641" t="s">
        <v>600</v>
      </c>
      <c r="AN2" s="641" t="s">
        <v>601</v>
      </c>
      <c r="AO2" s="641" t="s">
        <v>602</v>
      </c>
      <c r="AP2" s="641" t="s">
        <v>603</v>
      </c>
      <c r="AQ2" s="641" t="s">
        <v>604</v>
      </c>
      <c r="AR2" s="641"/>
      <c r="AS2" s="641" t="s">
        <v>593</v>
      </c>
      <c r="AT2" s="641" t="s">
        <v>594</v>
      </c>
      <c r="AU2" s="641" t="s">
        <v>595</v>
      </c>
      <c r="AV2" s="641" t="s">
        <v>596</v>
      </c>
      <c r="AW2" s="641" t="s">
        <v>597</v>
      </c>
      <c r="AX2" s="641" t="s">
        <v>598</v>
      </c>
      <c r="AY2" s="641" t="s">
        <v>599</v>
      </c>
      <c r="AZ2" s="641" t="s">
        <v>600</v>
      </c>
      <c r="BA2" s="641" t="s">
        <v>601</v>
      </c>
      <c r="BB2" s="641" t="s">
        <v>602</v>
      </c>
      <c r="BC2" s="641" t="s">
        <v>603</v>
      </c>
      <c r="BD2" s="641" t="s">
        <v>604</v>
      </c>
    </row>
    <row r="3" spans="1:56" ht="15">
      <c r="A3" s="642" t="str">
        <f>VLOOKUP(CONCATENATE($C3," - ",$B3),[1]ACHIEV!$B$17:$C$50,2,FALSE)</f>
        <v>Retro5Med</v>
      </c>
      <c r="B3" s="642" t="str">
        <f>'SC-Retro'!$C$7</f>
        <v>Retro</v>
      </c>
      <c r="C3" s="642" t="str">
        <f>'SC-Retro'!$C$8</f>
        <v>Dairy</v>
      </c>
      <c r="D3" s="642" t="s">
        <v>804</v>
      </c>
      <c r="E3" s="642" t="str">
        <f>INDEX([1]MLIST!A$10:B$42,MATCH($I3,[1]MLIST!$B$10:$B$42,0),1)</f>
        <v>Motors/Drives</v>
      </c>
      <c r="F3" s="643">
        <f t="shared" ref="F3:F30" si="1">VLOOKUP(CONCATENATE($I3," - ",$J3),MeasureOutput,14,FALSE)</f>
        <v>2.5652026670245219E-3</v>
      </c>
      <c r="G3" s="644">
        <f>'SC-Retro'!A100</f>
        <v>7.4915370557043142</v>
      </c>
      <c r="H3" s="644">
        <f>'SC-Retro'!B100</f>
        <v>-5.4739757676741085</v>
      </c>
      <c r="I3" s="645" t="str">
        <f>'SC-Retro'!C100</f>
        <v>VSD - Vacuum Pump</v>
      </c>
      <c r="J3" s="645" t="str">
        <f>'SC-Retro'!D100</f>
        <v>Idaho FreeStall</v>
      </c>
      <c r="K3" s="646">
        <f ca="1">'SC-Retro'!E100</f>
        <v>1.045670638653138E-3</v>
      </c>
      <c r="L3" s="646">
        <f ca="1">'SC-Retro'!F100</f>
        <v>1.3044395884045969E-3</v>
      </c>
      <c r="M3" s="646">
        <f ca="1">'SC-Retro'!G100</f>
        <v>1.6174228601979577E-3</v>
      </c>
      <c r="N3" s="646">
        <f ca="1">'SC-Retro'!H100</f>
        <v>1.9107073479104233E-3</v>
      </c>
      <c r="O3" s="646">
        <f ca="1">'SC-Retro'!I100</f>
        <v>2.2178599700510473E-3</v>
      </c>
      <c r="P3" s="646">
        <f ca="1">'SC-Retro'!J100</f>
        <v>2.6422109304421065E-3</v>
      </c>
      <c r="Q3" s="646">
        <f ca="1">'SC-Retro'!K100</f>
        <v>2.9512017665508498E-3</v>
      </c>
      <c r="R3" s="646">
        <f ca="1">'SC-Retro'!L100</f>
        <v>3.0764286052888594E-3</v>
      </c>
      <c r="S3" s="646">
        <f ca="1">'SC-Retro'!M100</f>
        <v>2.9616687725651063E-3</v>
      </c>
      <c r="T3" s="646">
        <f ca="1">'SC-Retro'!N100</f>
        <v>2.6029298405520237E-3</v>
      </c>
      <c r="U3" s="646">
        <f ca="1">'SC-Retro'!O100</f>
        <v>2.0669170899390321E-3</v>
      </c>
      <c r="V3" s="646">
        <f ca="1">'SC-Retro'!P100</f>
        <v>1.4501653686133506E-3</v>
      </c>
      <c r="W3" s="646">
        <f ca="1">'SC-Retro'!Q100</f>
        <v>8.8819217776774594E-4</v>
      </c>
      <c r="X3" s="646">
        <f ca="1">'SC-Retro'!R100</f>
        <v>4.6346247135560205E-4</v>
      </c>
      <c r="Y3" s="646">
        <f ca="1">'SC-Retro'!S100</f>
        <v>2.0275052922643597E-4</v>
      </c>
      <c r="Z3" s="646">
        <f ca="1">'SC-Retro'!T100</f>
        <v>7.2671406770966908E-5</v>
      </c>
      <c r="AA3" s="646">
        <f ca="1">'SC-Retro'!U100</f>
        <v>2.0760022454708074E-5</v>
      </c>
      <c r="AB3" s="646">
        <f ca="1">'SC-Retro'!V100</f>
        <v>4.6003634557025225E-6</v>
      </c>
      <c r="AC3" s="646">
        <f ca="1">'SC-Retro'!W100</f>
        <v>7.7027491093252695E-7</v>
      </c>
      <c r="AD3" s="646">
        <f ca="1">'SC-Retro'!X100</f>
        <v>9.3612200157866324E-8</v>
      </c>
      <c r="AE3" s="646">
        <f ca="1">'SC-Retro'!Y100</f>
        <v>3.4846211623119711E-2</v>
      </c>
      <c r="AF3" s="647">
        <f t="shared" ref="AF3:AF30" si="2">VLOOKUP(CONCATENATE($I3," - ",$J3),MeasureOutput,15,FALSE)</f>
        <v>0.4240242897034478</v>
      </c>
      <c r="AG3" s="647">
        <f t="shared" ref="AG3:AG30" si="3">VLOOKUP(CONCATENATE($I3," - ",$J3),MeasureOutput,16,FALSE)</f>
        <v>0.38738688236857016</v>
      </c>
      <c r="AH3" s="647">
        <f t="shared" ref="AH3:AH30" si="4">VLOOKUP(CONCATENATE($I3," - ",$J3),MeasureOutput,17,FALSE)</f>
        <v>0.45108597618047253</v>
      </c>
      <c r="AI3" s="647">
        <f t="shared" ref="AI3:AI30" si="5">VLOOKUP(CONCATENATE($I3," - ",$J3),MeasureOutput,18,FALSE)</f>
        <v>0.41557096814360467</v>
      </c>
      <c r="AJ3" s="647">
        <f t="shared" ref="AJ3:AJ30" si="6">VLOOKUP(CONCATENATE($I3," - ",$J3),MeasureOutput,19,FALSE)</f>
        <v>0.43215917643761542</v>
      </c>
      <c r="AK3" s="647">
        <f t="shared" ref="AK3:AK30" si="7">VLOOKUP(CONCATENATE($I3," - ",$J3),MeasureOutput,20,FALSE)</f>
        <v>0.43244556992374283</v>
      </c>
      <c r="AL3" s="647">
        <f t="shared" ref="AL3:AL30" si="8">VLOOKUP(CONCATENATE($I3," - ",$J3),MeasureOutput,21,FALSE)</f>
        <v>0.41782737812710086</v>
      </c>
      <c r="AM3" s="647">
        <f t="shared" ref="AM3:AM30" si="9">VLOOKUP(CONCATENATE($I3," - ",$J3),MeasureOutput,22,FALSE)</f>
        <v>0.44987294339073336</v>
      </c>
      <c r="AN3" s="647">
        <f t="shared" ref="AN3:AN30" si="10">VLOOKUP(CONCATENATE($I3," - ",$J3),MeasureOutput,23,FALSE)</f>
        <v>0.39895841579518093</v>
      </c>
      <c r="AO3" s="647">
        <f t="shared" ref="AO3:AO30" si="11">VLOOKUP(CONCATENATE($I3," - ",$J3),MeasureOutput,24,FALSE)</f>
        <v>0.44827142794291264</v>
      </c>
      <c r="AP3" s="647">
        <f t="shared" ref="AP3:AP30" si="12">VLOOKUP(CONCATENATE($I3," - ",$J3),MeasureOutput,25,FALSE)</f>
        <v>0.40197776478439018</v>
      </c>
      <c r="AQ3" s="647">
        <f t="shared" ref="AQ3:AQ30" si="13">VLOOKUP(CONCATENATE($I3," - ",$J3),MeasureOutput,26,FALSE)</f>
        <v>0.42259373782325393</v>
      </c>
      <c r="AR3" s="647"/>
      <c r="AS3" s="647">
        <f t="shared" ref="AS3:AS30" si="14">VLOOKUP(CONCATENATE($I3," - ",$J3),MeasureOutput,28,FALSE)</f>
        <v>0.22039736352469122</v>
      </c>
      <c r="AT3" s="647">
        <f t="shared" ref="AT3:AT30" si="15">VLOOKUP(CONCATENATE($I3," - ",$J3),MeasureOutput,29,FALSE)</f>
        <v>0.19136639762298374</v>
      </c>
      <c r="AU3" s="647">
        <f t="shared" ref="AU3:AU30" si="16">VLOOKUP(CONCATENATE($I3," - ",$J3),MeasureOutput,30,FALSE)</f>
        <v>0.18545687594011875</v>
      </c>
      <c r="AV3" s="647">
        <f t="shared" ref="AV3:AV30" si="17">VLOOKUP(CONCATENATE($I3," - ",$J3),MeasureOutput,31,FALSE)</f>
        <v>0.19696784682345242</v>
      </c>
      <c r="AW3" s="647">
        <f t="shared" ref="AW3:AW30" si="18">VLOOKUP(CONCATENATE($I3," - ",$J3),MeasureOutput,32,FALSE)</f>
        <v>0.20073868424726632</v>
      </c>
      <c r="AX3" s="647">
        <f t="shared" ref="AX3:AX30" si="19">VLOOKUP(CONCATENATE($I3," - ",$J3),MeasureOutput,33,FALSE)</f>
        <v>0.18033858605437719</v>
      </c>
      <c r="AY3" s="647">
        <f t="shared" ref="AY3:AY30" si="20">VLOOKUP(CONCATENATE($I3," - ",$J3),MeasureOutput,34,FALSE)</f>
        <v>0.21749987859729789</v>
      </c>
      <c r="AZ3" s="647">
        <f t="shared" ref="AZ3:AZ30" si="21">VLOOKUP(CONCATENATE($I3," - ",$J3),MeasureOutput,35,FALSE)</f>
        <v>0.18464032089098953</v>
      </c>
      <c r="BA3" s="647">
        <f t="shared" ref="BA3:BA30" si="22">VLOOKUP(CONCATENATE($I3," - ",$J3),MeasureOutput,36,FALSE)</f>
        <v>0.21280579446982198</v>
      </c>
      <c r="BB3" s="647">
        <f t="shared" ref="BB3:BB30" si="23">VLOOKUP(CONCATENATE($I3," - ",$J3),MeasureOutput,37,FALSE)</f>
        <v>0.18437519667141183</v>
      </c>
      <c r="BC3" s="647">
        <f t="shared" ref="BC3:BC30" si="24">VLOOKUP(CONCATENATE($I3," - ",$J3),MeasureOutput,38,FALSE)</f>
        <v>0.21521244355554311</v>
      </c>
      <c r="BD3" s="647">
        <f t="shared" ref="BD3:BD30" si="25">VLOOKUP(CONCATENATE($I3," - ",$J3),MeasureOutput,39,FALSE)</f>
        <v>0.21956313668533214</v>
      </c>
    </row>
    <row r="4" spans="1:56" ht="15">
      <c r="A4" s="642" t="str">
        <f>VLOOKUP(CONCATENATE($C4," - ",$B4),[1]ACHIEV!$B$17:$C$50,2,FALSE)</f>
        <v>Retro5Med</v>
      </c>
      <c r="B4" s="642" t="str">
        <f>'SC-Retro'!$C$7</f>
        <v>Retro</v>
      </c>
      <c r="C4" s="642" t="str">
        <f>'SC-Retro'!$C$8</f>
        <v>Dairy</v>
      </c>
      <c r="D4" s="642" t="s">
        <v>804</v>
      </c>
      <c r="E4" s="642" t="str">
        <f>INDEX([1]MLIST!A$10:B$42,MATCH($I4,[1]MLIST!$B$10:$B$42,0),1)</f>
        <v>Refrigeration</v>
      </c>
      <c r="F4" s="643">
        <f t="shared" si="1"/>
        <v>1.4192173013927816E-3</v>
      </c>
      <c r="G4" s="644">
        <f>'SC-Retro'!A101</f>
        <v>4.1447481480335853</v>
      </c>
      <c r="H4" s="644">
        <f>'SC-Retro'!B101</f>
        <v>-5.4748497277739405</v>
      </c>
      <c r="I4" s="645" t="str">
        <f>'SC-Retro'!C101</f>
        <v>Plate Milk Pre-cooler</v>
      </c>
      <c r="J4" s="645" t="str">
        <f>'SC-Retro'!D101</f>
        <v>Idaho FreeStall</v>
      </c>
      <c r="K4" s="646">
        <f ca="1">'SC-Retro'!E101</f>
        <v>1.0991974918485043E-2</v>
      </c>
      <c r="L4" s="646">
        <f ca="1">'SC-Retro'!F101</f>
        <v>1.3712125700393214E-2</v>
      </c>
      <c r="M4" s="646">
        <f ca="1">'SC-Retro'!G101</f>
        <v>1.7002171481815605E-2</v>
      </c>
      <c r="N4" s="646">
        <f ca="1">'SC-Retro'!H101</f>
        <v>2.0085145808290426E-2</v>
      </c>
      <c r="O4" s="646">
        <f ca="1">'SC-Retro'!I101</f>
        <v>2.3313900440882326E-2</v>
      </c>
      <c r="P4" s="646">
        <f ca="1">'SC-Retro'!J101</f>
        <v>2.7774631134498767E-2</v>
      </c>
      <c r="Q4" s="646">
        <f ca="1">'SC-Retro'!K101</f>
        <v>3.1022708870451787E-2</v>
      </c>
      <c r="R4" s="646">
        <f ca="1">'SC-Retro'!L101</f>
        <v>3.2339079646915736E-2</v>
      </c>
      <c r="S4" s="646">
        <f ca="1">'SC-Retro'!M101</f>
        <v>3.1132736888192181E-2</v>
      </c>
      <c r="T4" s="646">
        <f ca="1">'SC-Retro'!N101</f>
        <v>2.7361712631404252E-2</v>
      </c>
      <c r="U4" s="646">
        <f ca="1">'SC-Retro'!O101</f>
        <v>2.1727205461617893E-2</v>
      </c>
      <c r="V4" s="646">
        <f ca="1">'SC-Retro'!P101</f>
        <v>1.5243979098413917E-2</v>
      </c>
      <c r="W4" s="646">
        <f ca="1">'SC-Retro'!Q101</f>
        <v>9.3365786318651504E-3</v>
      </c>
      <c r="X4" s="646">
        <f ca="1">'SC-Retro'!R101</f>
        <v>4.8718666016687668E-3</v>
      </c>
      <c r="Y4" s="646">
        <f ca="1">'SC-Retro'!S101</f>
        <v>2.1312912972646036E-3</v>
      </c>
      <c r="Z4" s="646">
        <f ca="1">'SC-Retro'!T101</f>
        <v>7.6391384723815026E-4</v>
      </c>
      <c r="AA4" s="646">
        <f ca="1">'SC-Retro'!U101</f>
        <v>2.1822707618840585E-4</v>
      </c>
      <c r="AB4" s="646">
        <f ca="1">'SC-Retro'!V101</f>
        <v>4.8358515436686212E-5</v>
      </c>
      <c r="AC4" s="646">
        <f ca="1">'SC-Retro'!W101</f>
        <v>8.0970452725097441E-6</v>
      </c>
      <c r="AD4" s="646">
        <f ca="1">'SC-Retro'!X101</f>
        <v>9.8404116761357665E-7</v>
      </c>
      <c r="AE4" s="646">
        <f ca="1">'SC-Retro'!Y101</f>
        <v>0.36629954978836249</v>
      </c>
      <c r="AF4" s="647">
        <f t="shared" si="2"/>
        <v>0.23459456669595202</v>
      </c>
      <c r="AG4" s="647">
        <f t="shared" si="3"/>
        <v>0.21432465078005061</v>
      </c>
      <c r="AH4" s="647">
        <f t="shared" si="4"/>
        <v>0.24956664439833867</v>
      </c>
      <c r="AI4" s="647">
        <f t="shared" si="5"/>
        <v>0.22991770417503399</v>
      </c>
      <c r="AJ4" s="647">
        <f t="shared" si="6"/>
        <v>0.23909525280017827</v>
      </c>
      <c r="AK4" s="647">
        <f t="shared" si="7"/>
        <v>0.23925370210936664</v>
      </c>
      <c r="AL4" s="647">
        <f t="shared" si="8"/>
        <v>0.23116607964601685</v>
      </c>
      <c r="AM4" s="647">
        <f t="shared" si="9"/>
        <v>0.24889552505775592</v>
      </c>
      <c r="AN4" s="647">
        <f t="shared" si="10"/>
        <v>0.22072668702217724</v>
      </c>
      <c r="AO4" s="647">
        <f t="shared" si="11"/>
        <v>0.24800947482039537</v>
      </c>
      <c r="AP4" s="647">
        <f t="shared" si="12"/>
        <v>0.22239716412697422</v>
      </c>
      <c r="AQ4" s="647">
        <f t="shared" si="13"/>
        <v>0.23380310331373666</v>
      </c>
      <c r="AR4" s="647"/>
      <c r="AS4" s="647">
        <f t="shared" si="14"/>
        <v>0.12193646744427233</v>
      </c>
      <c r="AT4" s="647">
        <f t="shared" si="15"/>
        <v>0.10587487137099283</v>
      </c>
      <c r="AU4" s="647">
        <f t="shared" si="16"/>
        <v>0.10260538489996633</v>
      </c>
      <c r="AV4" s="647">
        <f t="shared" si="17"/>
        <v>0.10897391446819928</v>
      </c>
      <c r="AW4" s="647">
        <f t="shared" si="18"/>
        <v>0.11106015809386323</v>
      </c>
      <c r="AX4" s="647">
        <f t="shared" si="19"/>
        <v>9.9773653258343697E-2</v>
      </c>
      <c r="AY4" s="647">
        <f t="shared" si="20"/>
        <v>0.12033341253077838</v>
      </c>
      <c r="AZ4" s="647">
        <f t="shared" si="21"/>
        <v>0.10215361979455732</v>
      </c>
      <c r="BA4" s="647">
        <f t="shared" si="22"/>
        <v>0.1177363758546726</v>
      </c>
      <c r="BB4" s="647">
        <f t="shared" si="23"/>
        <v>0.10200693786401052</v>
      </c>
      <c r="BC4" s="647">
        <f t="shared" si="24"/>
        <v>0.11906787221741355</v>
      </c>
      <c r="BD4" s="647">
        <f t="shared" si="25"/>
        <v>0.12147492529053758</v>
      </c>
    </row>
    <row r="5" spans="1:56" ht="15">
      <c r="A5" s="642" t="str">
        <f>VLOOKUP(CONCATENATE($C5," - ",$B5),[1]ACHIEV!$B$17:$C$50,2,FALSE)</f>
        <v>Retro5Med</v>
      </c>
      <c r="B5" s="642" t="str">
        <f>'SC-Retro'!$C$7</f>
        <v>Retro</v>
      </c>
      <c r="C5" s="642" t="str">
        <f>'SC-Retro'!$C$8</f>
        <v>Dairy</v>
      </c>
      <c r="D5" s="642" t="s">
        <v>804</v>
      </c>
      <c r="E5" s="642" t="str">
        <f>INDEX([1]MLIST!A$10:B$42,MATCH($I5,[1]MLIST!$B$10:$B$42,0),1)</f>
        <v>Lighting</v>
      </c>
      <c r="F5" s="643">
        <f t="shared" si="1"/>
        <v>9.9436746959285252E-5</v>
      </c>
      <c r="G5" s="644">
        <f>'SC-Retro'!A102</f>
        <v>0.56446323784331998</v>
      </c>
      <c r="H5" s="644">
        <f>'SC-Retro'!B102</f>
        <v>4.7413092438539524</v>
      </c>
      <c r="I5" s="645" t="str">
        <f>'SC-Retro'!C102</f>
        <v>Energy Efficient Lighting</v>
      </c>
      <c r="J5" s="645" t="str">
        <f>'SC-Retro'!D102</f>
        <v>Idaho FreeStall</v>
      </c>
      <c r="K5" s="646">
        <f ca="1">'SC-Retro'!E102</f>
        <v>7.1212454543739109E-3</v>
      </c>
      <c r="L5" s="646">
        <f ca="1">'SC-Retro'!F102</f>
        <v>8.8835185249119021E-3</v>
      </c>
      <c r="M5" s="646">
        <f ca="1">'SC-Retro'!G102</f>
        <v>1.1015002970553755E-2</v>
      </c>
      <c r="N5" s="646">
        <f ca="1">'SC-Retro'!H102</f>
        <v>1.3012334393812332E-2</v>
      </c>
      <c r="O5" s="646">
        <f ca="1">'SC-Retro'!I102</f>
        <v>1.5104110841734091E-2</v>
      </c>
      <c r="P5" s="646">
        <f ca="1">'SC-Retro'!J102</f>
        <v>1.7994033572696841E-2</v>
      </c>
      <c r="Q5" s="646">
        <f ca="1">'SC-Retro'!K102</f>
        <v>2.0098328659261363E-2</v>
      </c>
      <c r="R5" s="646">
        <f ca="1">'SC-Retro'!L102</f>
        <v>2.0951150784282783E-2</v>
      </c>
      <c r="S5" s="646">
        <f ca="1">'SC-Retro'!M102</f>
        <v>2.0169611256519646E-2</v>
      </c>
      <c r="T5" s="646">
        <f ca="1">'SC-Retro'!N102</f>
        <v>1.7726520770402893E-2</v>
      </c>
      <c r="U5" s="646">
        <f ca="1">'SC-Retro'!O102</f>
        <v>1.4076156857817795E-2</v>
      </c>
      <c r="V5" s="646">
        <f ca="1">'SC-Retro'!P102</f>
        <v>9.8759429189193074E-3</v>
      </c>
      <c r="W5" s="646">
        <f ca="1">'SC-Retro'!Q102</f>
        <v>6.0487827378283279E-3</v>
      </c>
      <c r="X5" s="646">
        <f ca="1">'SC-Retro'!R102</f>
        <v>3.156280663732755E-3</v>
      </c>
      <c r="Y5" s="646">
        <f ca="1">'SC-Retro'!S102</f>
        <v>1.3807753906960379E-3</v>
      </c>
      <c r="Z5" s="646">
        <f ca="1">'SC-Retro'!T102</f>
        <v>4.9490815367760391E-4</v>
      </c>
      <c r="AA5" s="646">
        <f ca="1">'SC-Retro'!U102</f>
        <v>1.4138028751453695E-4</v>
      </c>
      <c r="AB5" s="646">
        <f ca="1">'SC-Retro'!V102</f>
        <v>3.1329479987681319E-5</v>
      </c>
      <c r="AC5" s="646">
        <f ca="1">'SC-Retro'!W102</f>
        <v>5.245740394089878E-6</v>
      </c>
      <c r="AD5" s="646">
        <f ca="1">'SC-Retro'!X102</f>
        <v>6.3751953072603932E-7</v>
      </c>
      <c r="AE5" s="646">
        <f ca="1">'SC-Retro'!Y102</f>
        <v>0.23731031258840435</v>
      </c>
      <c r="AF5" s="647">
        <f t="shared" si="2"/>
        <v>3.3986869962608982E-2</v>
      </c>
      <c r="AG5" s="647">
        <f t="shared" si="3"/>
        <v>3.0758676401567858E-2</v>
      </c>
      <c r="AH5" s="647">
        <f t="shared" si="4"/>
        <v>3.581228819474646E-2</v>
      </c>
      <c r="AI5" s="647">
        <f t="shared" si="5"/>
        <v>3.3302752496035835E-2</v>
      </c>
      <c r="AJ5" s="647">
        <f t="shared" si="6"/>
        <v>3.406342647694726E-2</v>
      </c>
      <c r="AK5" s="647">
        <f t="shared" si="7"/>
        <v>3.3258921334712525E-2</v>
      </c>
      <c r="AL5" s="647">
        <f t="shared" si="8"/>
        <v>3.1633726806545373E-2</v>
      </c>
      <c r="AM5" s="647">
        <f t="shared" si="9"/>
        <v>3.3961303817532908E-2</v>
      </c>
      <c r="AN5" s="647">
        <f t="shared" si="10"/>
        <v>3.1263530387468458E-2</v>
      </c>
      <c r="AO5" s="647">
        <f t="shared" si="11"/>
        <v>3.5473706871937703E-2</v>
      </c>
      <c r="AP5" s="647">
        <f t="shared" si="12"/>
        <v>3.1671299890828036E-2</v>
      </c>
      <c r="AQ5" s="647">
        <f t="shared" si="13"/>
        <v>3.3547198730559835E-2</v>
      </c>
      <c r="AR5" s="647"/>
      <c r="AS5" s="647">
        <f t="shared" si="14"/>
        <v>1.5280570700668168E-2</v>
      </c>
      <c r="AT5" s="647">
        <f t="shared" si="15"/>
        <v>1.3261972106745276E-2</v>
      </c>
      <c r="AU5" s="647">
        <f t="shared" si="16"/>
        <v>1.3006997071326236E-2</v>
      </c>
      <c r="AV5" s="647">
        <f t="shared" si="17"/>
        <v>1.3508436852216569E-2</v>
      </c>
      <c r="AW5" s="647">
        <f t="shared" si="18"/>
        <v>1.3632696113079297E-2</v>
      </c>
      <c r="AX5" s="647">
        <f t="shared" si="19"/>
        <v>1.2439188145427604E-2</v>
      </c>
      <c r="AY5" s="647">
        <f t="shared" si="20"/>
        <v>1.4603464606939412E-2</v>
      </c>
      <c r="AZ5" s="647">
        <f t="shared" si="21"/>
        <v>1.2559544929617654E-2</v>
      </c>
      <c r="BA5" s="647">
        <f t="shared" si="22"/>
        <v>1.4643675940229039E-2</v>
      </c>
      <c r="BB5" s="647">
        <f t="shared" si="23"/>
        <v>1.2710254502815961E-2</v>
      </c>
      <c r="BC5" s="647">
        <f t="shared" si="24"/>
        <v>1.4849388231467881E-2</v>
      </c>
      <c r="BD5" s="647">
        <f t="shared" si="25"/>
        <v>1.5233347271295581E-2</v>
      </c>
    </row>
    <row r="6" spans="1:56" ht="15">
      <c r="A6" s="642" t="str">
        <f>VLOOKUP(CONCATENATE($C6," - ",$B6),[1]ACHIEV!$B$17:$C$50,2,FALSE)</f>
        <v>Retro5Med</v>
      </c>
      <c r="B6" s="642" t="str">
        <f>'SC-Retro'!$C$7</f>
        <v>Retro</v>
      </c>
      <c r="C6" s="642" t="str">
        <f>'SC-Retro'!$C$8</f>
        <v>Dairy</v>
      </c>
      <c r="D6" s="642" t="s">
        <v>804</v>
      </c>
      <c r="E6" s="642" t="str">
        <f>INDEX([1]MLIST!A$10:B$42,MATCH($I6,[1]MLIST!$B$10:$B$42,0),1)</f>
        <v>Motors/Drives</v>
      </c>
      <c r="F6" s="643">
        <f t="shared" si="1"/>
        <v>1.7982490631536358E-3</v>
      </c>
      <c r="G6" s="644">
        <f>'SC-Retro'!A103</f>
        <v>5.2516901160200797</v>
      </c>
      <c r="H6" s="644">
        <f>'SC-Retro'!B103</f>
        <v>-6.6853843794400083</v>
      </c>
      <c r="I6" s="645" t="str">
        <f>'SC-Retro'!C103</f>
        <v>VSD - Vacuum Pump</v>
      </c>
      <c r="J6" s="645" t="str">
        <f>'SC-Retro'!D103</f>
        <v>Idaho TieStall</v>
      </c>
      <c r="K6" s="646">
        <f>'SC-Retro'!E103</f>
        <v>8.7050601475446398E-4</v>
      </c>
      <c r="L6" s="646">
        <f>'SC-Retro'!F103</f>
        <v>1.068842556205337E-3</v>
      </c>
      <c r="M6" s="646">
        <f>'SC-Retro'!G103</f>
        <v>1.307950500121132E-3</v>
      </c>
      <c r="N6" s="646">
        <f>'SC-Retro'!H103</f>
        <v>1.5183244443391813E-3</v>
      </c>
      <c r="O6" s="646">
        <f>'SC-Retro'!I103</f>
        <v>1.7318412986537276E-3</v>
      </c>
      <c r="P6" s="646">
        <f>'SC-Retro'!J103</f>
        <v>2.0247306504362927E-3</v>
      </c>
      <c r="Q6" s="646">
        <f>'SC-Retro'!K103</f>
        <v>2.2211609665993802E-3</v>
      </c>
      <c r="R6" s="646">
        <f>'SC-Retro'!L103</f>
        <v>2.2690728234129732E-3</v>
      </c>
      <c r="S6" s="646">
        <f>'SC-Retro'!M103</f>
        <v>2.1383288225918238E-3</v>
      </c>
      <c r="T6" s="646">
        <f>'SC-Retro'!N103</f>
        <v>1.8380747457478368E-3</v>
      </c>
      <c r="U6" s="646">
        <f>'SC-Retro'!O103</f>
        <v>1.4223798422573312E-3</v>
      </c>
      <c r="V6" s="646">
        <f>'SC-Retro'!P103</f>
        <v>9.7614820358378409E-4</v>
      </c>
      <c r="W6" s="646">
        <f>'SC-Retro'!Q103</f>
        <v>5.8413452984141059E-4</v>
      </c>
      <c r="X6" s="646">
        <f>'SC-Retro'!R103</f>
        <v>2.9908896113525036E-4</v>
      </c>
      <c r="Y6" s="646">
        <f>'SC-Retro'!S103</f>
        <v>1.283193556319729E-4</v>
      </c>
      <c r="Z6" s="646">
        <f>'SC-Retro'!T103</f>
        <v>4.5081233463740708E-5</v>
      </c>
      <c r="AA6" s="646">
        <f>'SC-Retro'!U103</f>
        <v>1.2646833245876306E-5</v>
      </c>
      <c r="AB6" s="646">
        <f>'SC-Retro'!V103</f>
        <v>2.7564354095055512E-6</v>
      </c>
      <c r="AC6" s="646">
        <f>'SC-Retro'!W103</f>
        <v>4.5308090218012232E-7</v>
      </c>
      <c r="AD6" s="646">
        <f>'SC-Retro'!X103</f>
        <v>5.4385134057158356E-8</v>
      </c>
      <c r="AE6" s="646">
        <f>'SC-Retro'!Y103</f>
        <v>2.0244325924522421E-2</v>
      </c>
      <c r="AF6" s="647">
        <f t="shared" si="2"/>
        <v>0.29724796855839297</v>
      </c>
      <c r="AG6" s="647">
        <f t="shared" si="3"/>
        <v>0.27156454624512122</v>
      </c>
      <c r="AH6" s="647">
        <f t="shared" si="4"/>
        <v>0.31621865379127323</v>
      </c>
      <c r="AI6" s="647">
        <f t="shared" si="5"/>
        <v>0.29132205176010867</v>
      </c>
      <c r="AJ6" s="647">
        <f t="shared" si="6"/>
        <v>0.3029506573309515</v>
      </c>
      <c r="AK6" s="647">
        <f t="shared" si="7"/>
        <v>0.30315142385312238</v>
      </c>
      <c r="AL6" s="647">
        <f t="shared" si="8"/>
        <v>0.29290383209702803</v>
      </c>
      <c r="AM6" s="647">
        <f t="shared" si="9"/>
        <v>0.31536829794775101</v>
      </c>
      <c r="AN6" s="647">
        <f t="shared" si="10"/>
        <v>0.27967638060859878</v>
      </c>
      <c r="AO6" s="647">
        <f t="shared" si="11"/>
        <v>0.3142456094012705</v>
      </c>
      <c r="AP6" s="647">
        <f t="shared" si="12"/>
        <v>0.28179299367819194</v>
      </c>
      <c r="AQ6" s="647">
        <f t="shared" si="13"/>
        <v>0.29624512827157257</v>
      </c>
      <c r="AR6" s="647"/>
      <c r="AS6" s="647">
        <f t="shared" si="14"/>
        <v>0.1545021598389047</v>
      </c>
      <c r="AT6" s="647">
        <f t="shared" si="15"/>
        <v>0.13415097749129504</v>
      </c>
      <c r="AU6" s="647">
        <f t="shared" si="16"/>
        <v>0.13000830604996816</v>
      </c>
      <c r="AV6" s="647">
        <f t="shared" si="17"/>
        <v>0.13807768507917126</v>
      </c>
      <c r="AW6" s="647">
        <f t="shared" si="18"/>
        <v>0.14072110384364006</v>
      </c>
      <c r="AX6" s="647">
        <f t="shared" si="19"/>
        <v>0.12642030105126001</v>
      </c>
      <c r="AY6" s="647">
        <f t="shared" si="20"/>
        <v>0.15247097547161625</v>
      </c>
      <c r="AZ6" s="647">
        <f t="shared" si="21"/>
        <v>0.12943588759313987</v>
      </c>
      <c r="BA6" s="647">
        <f t="shared" si="22"/>
        <v>0.14918034565389932</v>
      </c>
      <c r="BB6" s="647">
        <f t="shared" si="23"/>
        <v>0.12925003117500822</v>
      </c>
      <c r="BC6" s="647">
        <f t="shared" si="24"/>
        <v>0.15086744606096286</v>
      </c>
      <c r="BD6" s="647">
        <f t="shared" si="25"/>
        <v>0.15391735316782978</v>
      </c>
    </row>
    <row r="7" spans="1:56" ht="15">
      <c r="A7" s="642" t="str">
        <f>VLOOKUP(CONCATENATE($C7," - ",$B7),[1]ACHIEV!$B$17:$C$50,2,FALSE)</f>
        <v>Retro5Med</v>
      </c>
      <c r="B7" s="642" t="str">
        <f>'SC-Retro'!$C$7</f>
        <v>Retro</v>
      </c>
      <c r="C7" s="642" t="str">
        <f>'SC-Retro'!$C$8</f>
        <v>Dairy</v>
      </c>
      <c r="D7" s="642" t="s">
        <v>804</v>
      </c>
      <c r="E7" s="642" t="str">
        <f>INDEX([1]MLIST!A$10:B$42,MATCH($I7,[1]MLIST!$B$10:$B$42,0),1)</f>
        <v>Refrigeration</v>
      </c>
      <c r="F7" s="643">
        <f t="shared" si="1"/>
        <v>1.9029775194882078E-3</v>
      </c>
      <c r="G7" s="644">
        <f>'SC-Retro'!A104</f>
        <v>5.5575439658943351</v>
      </c>
      <c r="H7" s="644">
        <f>'SC-Retro'!B104</f>
        <v>-6.6357268278525448</v>
      </c>
      <c r="I7" s="637" t="str">
        <f>'SC-Retro'!C104</f>
        <v>Heat Recovery Refrigeration</v>
      </c>
      <c r="J7" s="637" t="str">
        <f>'SC-Retro'!D104</f>
        <v>Idaho TieStall</v>
      </c>
      <c r="K7" s="646">
        <f>'SC-Retro'!E104</f>
        <v>4.8320057120648041E-3</v>
      </c>
      <c r="L7" s="646">
        <f>'SC-Retro'!F104</f>
        <v>5.9329323971861175E-3</v>
      </c>
      <c r="M7" s="646">
        <f>'SC-Retro'!G104</f>
        <v>7.2601730264505535E-3</v>
      </c>
      <c r="N7" s="646">
        <f>'SC-Retro'!H104</f>
        <v>8.4279169396479173E-3</v>
      </c>
      <c r="O7" s="646">
        <f>'SC-Retro'!I104</f>
        <v>9.6131065215498881E-3</v>
      </c>
      <c r="P7" s="646">
        <f>'SC-Retro'!J104</f>
        <v>1.1238877046771933E-2</v>
      </c>
      <c r="Q7" s="646">
        <f>'SC-Retro'!K104</f>
        <v>1.2329222654539448E-2</v>
      </c>
      <c r="R7" s="646">
        <f>'SC-Retro'!L104</f>
        <v>1.2595171840271627E-2</v>
      </c>
      <c r="S7" s="646">
        <f>'SC-Retro'!M104</f>
        <v>1.1869437901530038E-2</v>
      </c>
      <c r="T7" s="646">
        <f>'SC-Retro'!N104</f>
        <v>1.02027872526082E-2</v>
      </c>
      <c r="U7" s="646">
        <f>'SC-Retro'!O104</f>
        <v>7.8953475404209064E-3</v>
      </c>
      <c r="V7" s="646">
        <f>'SC-Retro'!P104</f>
        <v>5.4184044861184059E-3</v>
      </c>
      <c r="W7" s="646">
        <f>'SC-Retro'!Q104</f>
        <v>3.2424145691906732E-3</v>
      </c>
      <c r="X7" s="646">
        <f>'SC-Retro'!R104</f>
        <v>1.6601833234072406E-3</v>
      </c>
      <c r="Y7" s="646">
        <f>'SC-Retro'!S104</f>
        <v>7.1227521564805893E-4</v>
      </c>
      <c r="Z7" s="646">
        <f>'SC-Retro'!T104</f>
        <v>2.5023695863280658E-4</v>
      </c>
      <c r="AA7" s="646">
        <f>'SC-Retro'!U104</f>
        <v>7.0200055425053014E-5</v>
      </c>
      <c r="AB7" s="646">
        <f>'SC-Retro'!V104</f>
        <v>1.5300424601230721E-5</v>
      </c>
      <c r="AC7" s="646">
        <f>'SC-Retro'!W104</f>
        <v>2.5149619534557042E-6</v>
      </c>
      <c r="AD7" s="646">
        <f>'SC-Retro'!X104</f>
        <v>3.0188105993698618E-7</v>
      </c>
      <c r="AE7" s="646">
        <f>'SC-Retro'!Y104</f>
        <v>0.11237222586197222</v>
      </c>
      <c r="AF7" s="647">
        <f t="shared" si="2"/>
        <v>0.31455943087669597</v>
      </c>
      <c r="AG7" s="647">
        <f t="shared" si="3"/>
        <v>0.28738022845855893</v>
      </c>
      <c r="AH7" s="647">
        <f t="shared" si="4"/>
        <v>0.33463495226423234</v>
      </c>
      <c r="AI7" s="647">
        <f t="shared" si="5"/>
        <v>0.30828839385487428</v>
      </c>
      <c r="AJ7" s="647">
        <f t="shared" si="6"/>
        <v>0.32059423926735631</v>
      </c>
      <c r="AK7" s="647">
        <f t="shared" si="7"/>
        <v>0.32080669825659497</v>
      </c>
      <c r="AL7" s="647">
        <f t="shared" si="8"/>
        <v>0.30996229569839712</v>
      </c>
      <c r="AM7" s="647">
        <f t="shared" si="9"/>
        <v>0.33373507243838091</v>
      </c>
      <c r="AN7" s="647">
        <f t="shared" si="10"/>
        <v>0.29596448897719813</v>
      </c>
      <c r="AO7" s="647">
        <f t="shared" si="11"/>
        <v>0.33254699949058103</v>
      </c>
      <c r="AP7" s="647">
        <f t="shared" si="12"/>
        <v>0.29820437174506514</v>
      </c>
      <c r="AQ7" s="647">
        <f t="shared" si="13"/>
        <v>0.3134981860466225</v>
      </c>
      <c r="AR7" s="647"/>
      <c r="AS7" s="647">
        <f t="shared" si="14"/>
        <v>0.16350023081351658</v>
      </c>
      <c r="AT7" s="647">
        <f t="shared" si="15"/>
        <v>0.14196381336387345</v>
      </c>
      <c r="AU7" s="647">
        <f t="shared" si="16"/>
        <v>0.13757987635258673</v>
      </c>
      <c r="AV7" s="647">
        <f t="shared" si="17"/>
        <v>0.14611920897532873</v>
      </c>
      <c r="AW7" s="647">
        <f t="shared" si="18"/>
        <v>0.14891657814206447</v>
      </c>
      <c r="AX7" s="647">
        <f t="shared" si="19"/>
        <v>0.13378290907354995</v>
      </c>
      <c r="AY7" s="647">
        <f t="shared" si="20"/>
        <v>0.1613507520410338</v>
      </c>
      <c r="AZ7" s="647">
        <f t="shared" si="21"/>
        <v>0.13697412074430965</v>
      </c>
      <c r="BA7" s="647">
        <f t="shared" si="22"/>
        <v>0.15786847881404761</v>
      </c>
      <c r="BB7" s="647">
        <f t="shared" si="23"/>
        <v>0.13677744021055926</v>
      </c>
      <c r="BC7" s="647">
        <f t="shared" si="24"/>
        <v>0.15965383447670037</v>
      </c>
      <c r="BD7" s="647">
        <f t="shared" si="25"/>
        <v>0.16288136551220478</v>
      </c>
    </row>
    <row r="8" spans="1:56" ht="15">
      <c r="A8" s="642" t="str">
        <f>VLOOKUP(CONCATENATE($C8," - ",$B8),[1]ACHIEV!$B$17:$C$50,2,FALSE)</f>
        <v>Retro5Med</v>
      </c>
      <c r="B8" s="642" t="str">
        <f>'SC-Retro'!$C$7</f>
        <v>Retro</v>
      </c>
      <c r="C8" s="642" t="str">
        <f>'SC-Retro'!$C$8</f>
        <v>Dairy</v>
      </c>
      <c r="D8" s="642" t="s">
        <v>804</v>
      </c>
      <c r="E8" s="642" t="str">
        <f>INDEX([1]MLIST!A$10:B$42,MATCH($I8,[1]MLIST!$B$10:$B$42,0),1)</f>
        <v>Refrigeration</v>
      </c>
      <c r="F8" s="643">
        <f t="shared" si="1"/>
        <v>1.4713856900822407E-3</v>
      </c>
      <c r="G8" s="644">
        <f>'SC-Retro'!A105</f>
        <v>4.297103134260384</v>
      </c>
      <c r="H8" s="644">
        <f>'SC-Retro'!B105</f>
        <v>-7.6191296344260442</v>
      </c>
      <c r="I8" s="637" t="str">
        <f>'SC-Retro'!C105</f>
        <v>Plate Milk Pre-Cooler</v>
      </c>
      <c r="J8" s="637" t="str">
        <f>'SC-Retro'!D105</f>
        <v>Idaho TieStall</v>
      </c>
      <c r="K8" s="646">
        <f>'SC-Retro'!E105</f>
        <v>2.3965042652272285E-3</v>
      </c>
      <c r="L8" s="646">
        <f>'SC-Retro'!F105</f>
        <v>2.9425250387557175E-3</v>
      </c>
      <c r="M8" s="646">
        <f>'SC-Retro'!G105</f>
        <v>3.6007895397833674E-3</v>
      </c>
      <c r="N8" s="646">
        <f>'SC-Retro'!H105</f>
        <v>4.1799492998149338E-3</v>
      </c>
      <c r="O8" s="646">
        <f>'SC-Retro'!I105</f>
        <v>4.7677614956985435E-3</v>
      </c>
      <c r="P8" s="646">
        <f>'SC-Retro'!J105</f>
        <v>5.5740862871298093E-3</v>
      </c>
      <c r="Q8" s="646">
        <f>'SC-Retro'!K105</f>
        <v>6.1148592197988044E-3</v>
      </c>
      <c r="R8" s="646">
        <f>'SC-Retro'!L105</f>
        <v>6.2467606280172411E-3</v>
      </c>
      <c r="S8" s="646">
        <f>'SC-Retro'!M105</f>
        <v>5.8868222125323865E-3</v>
      </c>
      <c r="T8" s="646">
        <f>'SC-Retro'!N105</f>
        <v>5.060222322798783E-3</v>
      </c>
      <c r="U8" s="646">
        <f>'SC-Retro'!O105</f>
        <v>3.9158136772948094E-3</v>
      </c>
      <c r="V8" s="646">
        <f>'SC-Retro'!P105</f>
        <v>2.6873373575049607E-3</v>
      </c>
      <c r="W8" s="646">
        <f>'SC-Retro'!Q105</f>
        <v>1.6081231703221426E-3</v>
      </c>
      <c r="X8" s="646">
        <f>'SC-Retro'!R105</f>
        <v>8.2339232457248547E-4</v>
      </c>
      <c r="Y8" s="646">
        <f>'SC-Retro'!S105</f>
        <v>3.5326336391825115E-4</v>
      </c>
      <c r="Z8" s="646">
        <f>'SC-Retro'!T105</f>
        <v>1.2410869821276562E-4</v>
      </c>
      <c r="AA8" s="646">
        <f>'SC-Retro'!U105</f>
        <v>3.4816749455670172E-5</v>
      </c>
      <c r="AB8" s="646">
        <f>'SC-Retro'!V105</f>
        <v>7.588470503063279E-6</v>
      </c>
      <c r="AC8" s="646">
        <f>'SC-Retro'!W105</f>
        <v>1.2473323517172127E-6</v>
      </c>
      <c r="AD8" s="646">
        <f>'SC-Retro'!X105</f>
        <v>1.4972234944257891E-7</v>
      </c>
      <c r="AE8" s="646">
        <f>'SC-Retro'!Y105</f>
        <v>5.5732657330865798E-2</v>
      </c>
      <c r="AF8" s="647">
        <f t="shared" si="2"/>
        <v>0.2432179258727456</v>
      </c>
      <c r="AG8" s="647">
        <f t="shared" si="3"/>
        <v>0.22220291697413769</v>
      </c>
      <c r="AH8" s="647">
        <f t="shared" si="4"/>
        <v>0.25874035563770953</v>
      </c>
      <c r="AI8" s="647">
        <f t="shared" si="5"/>
        <v>0.23836914860586231</v>
      </c>
      <c r="AJ8" s="647">
        <f t="shared" si="6"/>
        <v>0.24788405073101188</v>
      </c>
      <c r="AK8" s="647">
        <f t="shared" si="7"/>
        <v>0.24804832440912616</v>
      </c>
      <c r="AL8" s="647">
        <f t="shared" si="8"/>
        <v>0.23966341256533577</v>
      </c>
      <c r="AM8" s="647">
        <f t="shared" si="9"/>
        <v>0.25804456691451555</v>
      </c>
      <c r="AN8" s="647">
        <f t="shared" si="10"/>
        <v>0.22884028286927482</v>
      </c>
      <c r="AO8" s="647">
        <f t="shared" si="11"/>
        <v>0.25712594674361794</v>
      </c>
      <c r="AP8" s="647">
        <f t="shared" si="12"/>
        <v>0.23057216431209274</v>
      </c>
      <c r="AQ8" s="647">
        <f t="shared" si="13"/>
        <v>0.24239736943387402</v>
      </c>
      <c r="AR8" s="647"/>
      <c r="AS8" s="647">
        <f t="shared" si="14"/>
        <v>0.12641867677388635</v>
      </c>
      <c r="AT8" s="647">
        <f t="shared" si="15"/>
        <v>0.10976667950827243</v>
      </c>
      <c r="AU8" s="647">
        <f t="shared" si="16"/>
        <v>0.10637701141257996</v>
      </c>
      <c r="AV8" s="647">
        <f t="shared" si="17"/>
        <v>0.11297963897663768</v>
      </c>
      <c r="AW8" s="647">
        <f t="shared" si="18"/>
        <v>0.11514256992020407</v>
      </c>
      <c r="AX8" s="647">
        <f t="shared" si="19"/>
        <v>0.10344118938479911</v>
      </c>
      <c r="AY8" s="647">
        <f t="shared" si="20"/>
        <v>0.12475669586524309</v>
      </c>
      <c r="AZ8" s="647">
        <f t="shared" si="21"/>
        <v>0.10590864007104898</v>
      </c>
      <c r="BA8" s="647">
        <f t="shared" si="22"/>
        <v>0.12206419585267227</v>
      </c>
      <c r="BB8" s="647">
        <f t="shared" si="23"/>
        <v>0.10575656632350632</v>
      </c>
      <c r="BC8" s="647">
        <f t="shared" si="24"/>
        <v>0.1234446361084463</v>
      </c>
      <c r="BD8" s="647">
        <f t="shared" si="25"/>
        <v>0.12594016899378208</v>
      </c>
    </row>
    <row r="9" spans="1:56" ht="15">
      <c r="A9" s="642" t="str">
        <f>VLOOKUP(CONCATENATE($C9," - ",$B9),[1]ACHIEV!$B$17:$C$50,2,FALSE)</f>
        <v>Retro5Med</v>
      </c>
      <c r="B9" s="642" t="str">
        <f>'SC-Retro'!$C$7</f>
        <v>Retro</v>
      </c>
      <c r="C9" s="642" t="str">
        <f>'SC-Retro'!$C$8</f>
        <v>Dairy</v>
      </c>
      <c r="D9" s="642" t="s">
        <v>804</v>
      </c>
      <c r="E9" s="642" t="str">
        <f>INDEX([1]MLIST!A$10:B$42,MATCH($I9,[1]MLIST!$B$10:$B$42,0),1)</f>
        <v>Lighting</v>
      </c>
      <c r="F9" s="643">
        <f t="shared" si="1"/>
        <v>5.3639795134547634E-4</v>
      </c>
      <c r="G9" s="644">
        <f>'SC-Retro'!A106</f>
        <v>3.0449198475183858</v>
      </c>
      <c r="H9" s="644">
        <f>'SC-Retro'!B106</f>
        <v>3.9511787212703759</v>
      </c>
      <c r="I9" s="637" t="str">
        <f>'SC-Retro'!C106</f>
        <v>Energy Efficient Lighting</v>
      </c>
      <c r="J9" s="637" t="str">
        <f>'SC-Retro'!D106</f>
        <v>Idaho TieStall</v>
      </c>
      <c r="K9" s="646">
        <f>'SC-Retro'!E106</f>
        <v>2.2615420229051228E-4</v>
      </c>
      <c r="L9" s="646">
        <f>'SC-Retro'!F106</f>
        <v>2.7768129292127963E-4</v>
      </c>
      <c r="M9" s="646">
        <f>'SC-Retro'!G106</f>
        <v>3.3980064120958951E-4</v>
      </c>
      <c r="N9" s="646">
        <f>'SC-Retro'!H106</f>
        <v>3.9445500399507959E-4</v>
      </c>
      <c r="O9" s="646">
        <f>'SC-Retro'!I106</f>
        <v>4.4992588305236653E-4</v>
      </c>
      <c r="P9" s="646">
        <f>'SC-Retro'!J106</f>
        <v>5.2601743967470012E-4</v>
      </c>
      <c r="Q9" s="646">
        <f>'SC-Retro'!K106</f>
        <v>5.7704930011516628E-4</v>
      </c>
      <c r="R9" s="646">
        <f>'SC-Retro'!L106</f>
        <v>5.8949662106905058E-4</v>
      </c>
      <c r="S9" s="646">
        <f>'SC-Retro'!M106</f>
        <v>5.5552981933670712E-4</v>
      </c>
      <c r="T9" s="646">
        <f>'SC-Retro'!N106</f>
        <v>4.775249347268299E-4</v>
      </c>
      <c r="U9" s="646">
        <f>'SC-Retro'!O106</f>
        <v>3.6952895571955828E-4</v>
      </c>
      <c r="V9" s="646">
        <f>'SC-Retro'!P106</f>
        <v>2.535996472822479E-4</v>
      </c>
      <c r="W9" s="646">
        <f>'SC-Retro'!Q106</f>
        <v>1.5175596306923764E-4</v>
      </c>
      <c r="X9" s="646">
        <f>'SC-Retro'!R106</f>
        <v>7.7702191912504222E-5</v>
      </c>
      <c r="Y9" s="646">
        <f>'SC-Retro'!S106</f>
        <v>3.3336887993320532E-5</v>
      </c>
      <c r="Z9" s="646">
        <f>'SC-Retro'!T106</f>
        <v>1.171193560924485E-5</v>
      </c>
      <c r="AA9" s="646">
        <f>'SC-Retro'!U106</f>
        <v>3.2855999105635363E-6</v>
      </c>
      <c r="AB9" s="646">
        <f>'SC-Retro'!V106</f>
        <v>7.1611159559636216E-7</v>
      </c>
      <c r="AC9" s="646">
        <f>'SC-Retro'!W106</f>
        <v>1.1770872144348474E-7</v>
      </c>
      <c r="AD9" s="646">
        <f>'SC-Retro'!X106</f>
        <v>1.4129054137125533E-8</v>
      </c>
      <c r="AE9" s="646">
        <f>'SC-Retro'!Y106</f>
        <v>5.2594000532677279E-3</v>
      </c>
      <c r="AF9" s="647">
        <f t="shared" si="2"/>
        <v>0.18333752840942297</v>
      </c>
      <c r="AG9" s="647">
        <f t="shared" si="3"/>
        <v>0.16592347912039981</v>
      </c>
      <c r="AH9" s="647">
        <f t="shared" si="4"/>
        <v>0.19318449776440541</v>
      </c>
      <c r="AI9" s="647">
        <f t="shared" si="5"/>
        <v>0.17964715016625954</v>
      </c>
      <c r="AJ9" s="647">
        <f t="shared" si="6"/>
        <v>0.18375050207065927</v>
      </c>
      <c r="AK9" s="647">
        <f t="shared" si="7"/>
        <v>0.17941070895254463</v>
      </c>
      <c r="AL9" s="647">
        <f t="shared" si="8"/>
        <v>0.17064381902397849</v>
      </c>
      <c r="AM9" s="647">
        <f t="shared" si="9"/>
        <v>0.18319961533139134</v>
      </c>
      <c r="AN9" s="647">
        <f t="shared" si="10"/>
        <v>0.16864684499917862</v>
      </c>
      <c r="AO9" s="647">
        <f t="shared" si="11"/>
        <v>0.19135806705873457</v>
      </c>
      <c r="AP9" s="647">
        <f t="shared" si="12"/>
        <v>0.17084650189576633</v>
      </c>
      <c r="AQ9" s="647">
        <f t="shared" si="13"/>
        <v>0.18096578199425445</v>
      </c>
      <c r="AR9" s="647"/>
      <c r="AS9" s="647">
        <f t="shared" si="14"/>
        <v>8.242895176955245E-2</v>
      </c>
      <c r="AT9" s="647">
        <f t="shared" si="15"/>
        <v>7.1539897335657465E-2</v>
      </c>
      <c r="AU9" s="647">
        <f t="shared" si="16"/>
        <v>7.0164469329157875E-2</v>
      </c>
      <c r="AV9" s="647">
        <f t="shared" si="17"/>
        <v>7.2869417745288489E-2</v>
      </c>
      <c r="AW9" s="647">
        <f t="shared" si="18"/>
        <v>7.3539717357862924E-2</v>
      </c>
      <c r="AX9" s="647">
        <f t="shared" si="19"/>
        <v>6.7101501624347415E-2</v>
      </c>
      <c r="AY9" s="647">
        <f t="shared" si="20"/>
        <v>7.8776395419651382E-2</v>
      </c>
      <c r="AZ9" s="647">
        <f t="shared" si="21"/>
        <v>6.7750749859474282E-2</v>
      </c>
      <c r="BA9" s="647">
        <f t="shared" si="22"/>
        <v>7.8993309965400327E-2</v>
      </c>
      <c r="BB9" s="647">
        <f t="shared" si="23"/>
        <v>6.856373206961057E-2</v>
      </c>
      <c r="BC9" s="647">
        <f t="shared" si="24"/>
        <v>8.0102996826257503E-2</v>
      </c>
      <c r="BD9" s="647">
        <f t="shared" si="25"/>
        <v>8.2174211429129451E-2</v>
      </c>
    </row>
    <row r="10" spans="1:56" ht="15">
      <c r="A10" s="642" t="str">
        <f>VLOOKUP(CONCATENATE($C10," - ",$B10),[1]ACHIEV!$B$17:$C$50,2,FALSE)</f>
        <v>Retro5Med</v>
      </c>
      <c r="B10" s="642" t="str">
        <f>'SC-Retro'!$C$7</f>
        <v>Retro</v>
      </c>
      <c r="C10" s="642" t="str">
        <f>'SC-Retro'!$C$8</f>
        <v>Dairy</v>
      </c>
      <c r="D10" s="642" t="s">
        <v>804</v>
      </c>
      <c r="E10" s="642" t="str">
        <f>INDEX([1]MLIST!A$10:B$42,MATCH($I10,[1]MLIST!$B$10:$B$42,0),1)</f>
        <v>Motors/Drives</v>
      </c>
      <c r="F10" s="643">
        <f t="shared" si="1"/>
        <v>2.5652026670245219E-3</v>
      </c>
      <c r="G10" s="644">
        <f>'SC-Retro'!A107</f>
        <v>7.4915370557043142</v>
      </c>
      <c r="H10" s="644">
        <f>'SC-Retro'!B107</f>
        <v>-5.4739757676741085</v>
      </c>
      <c r="I10" s="637" t="str">
        <f>'SC-Retro'!C107</f>
        <v>VSD - Vacuum Pump</v>
      </c>
      <c r="J10" s="648" t="str">
        <f>'SC-Retro'!D107</f>
        <v>Montana FreeStall</v>
      </c>
      <c r="K10" s="646">
        <f ca="1">'SC-Retro'!E107</f>
        <v>5.98649094374663E-6</v>
      </c>
      <c r="L10" s="646">
        <f ca="1">'SC-Retro'!F107</f>
        <v>7.3651392729898657E-6</v>
      </c>
      <c r="M10" s="646">
        <f ca="1">'SC-Retro'!G107</f>
        <v>9.0129200766723935E-6</v>
      </c>
      <c r="N10" s="646">
        <f ca="1">'SC-Retro'!H107</f>
        <v>1.0478073648132921E-5</v>
      </c>
      <c r="O10" s="646">
        <f ca="1">'SC-Retro'!I107</f>
        <v>1.1944499038759085E-5</v>
      </c>
      <c r="P10" s="646">
        <f ca="1">'SC-Retro'!J107</f>
        <v>1.3956694319304917E-5</v>
      </c>
      <c r="Q10" s="646">
        <f ca="1">'SC-Retro'!K107</f>
        <v>1.5330897006663064E-5</v>
      </c>
      <c r="R10" s="646">
        <f ca="1">'SC-Retro'!L107</f>
        <v>1.5676576271586935E-5</v>
      </c>
      <c r="S10" s="646">
        <f ca="1">'SC-Retro'!M107</f>
        <v>1.4737918916581402E-5</v>
      </c>
      <c r="T10" s="646">
        <f ca="1">'SC-Retro'!N107</f>
        <v>1.2666509647135971E-5</v>
      </c>
      <c r="U10" s="646">
        <f ca="1">'SC-Retro'!O107</f>
        <v>9.8019855550729902E-6</v>
      </c>
      <c r="V10" s="646">
        <f ca="1">'SC-Retro'!P107</f>
        <v>6.6849915465012309E-6</v>
      </c>
      <c r="W10" s="646">
        <f ca="1">'SC-Retro'!Q107</f>
        <v>3.9975051977684795E-6</v>
      </c>
      <c r="X10" s="646">
        <f ca="1">'SC-Retro'!R107</f>
        <v>2.0439202633284374E-6</v>
      </c>
      <c r="Y10" s="646">
        <f ca="1">'SC-Retro'!S107</f>
        <v>8.749881925700872E-7</v>
      </c>
      <c r="Z10" s="646">
        <f ca="1">'SC-Retro'!T107</f>
        <v>3.0659099086015104E-7</v>
      </c>
      <c r="AA10" s="646">
        <f ca="1">'SC-Retro'!U107</f>
        <v>8.6008905399547743E-8</v>
      </c>
      <c r="AB10" s="646">
        <f ca="1">'SC-Retro'!V107</f>
        <v>1.8674294094712051E-8</v>
      </c>
      <c r="AC10" s="646">
        <f ca="1">'SC-Retro'!W107</f>
        <v>3.0580936775641487E-9</v>
      </c>
      <c r="AD10" s="646">
        <f ca="1">'SC-Retro'!X107</f>
        <v>3.6709042721283853E-10</v>
      </c>
      <c r="AE10" s="646">
        <f ca="1">'SC-Retro'!Y107</f>
        <v>1.3664576508092132E-4</v>
      </c>
      <c r="AF10" s="647">
        <f t="shared" si="2"/>
        <v>0.4240242897034478</v>
      </c>
      <c r="AG10" s="647">
        <f t="shared" si="3"/>
        <v>0.38738688236857016</v>
      </c>
      <c r="AH10" s="647">
        <f t="shared" si="4"/>
        <v>0.45108597618047253</v>
      </c>
      <c r="AI10" s="647">
        <f t="shared" si="5"/>
        <v>0.41557096814360467</v>
      </c>
      <c r="AJ10" s="647">
        <f t="shared" si="6"/>
        <v>0.43215917643761542</v>
      </c>
      <c r="AK10" s="647">
        <f t="shared" si="7"/>
        <v>0.43244556992374283</v>
      </c>
      <c r="AL10" s="647">
        <f t="shared" si="8"/>
        <v>0.41782737812710086</v>
      </c>
      <c r="AM10" s="647">
        <f t="shared" si="9"/>
        <v>0.44987294339073336</v>
      </c>
      <c r="AN10" s="647">
        <f t="shared" si="10"/>
        <v>0.39895841579518093</v>
      </c>
      <c r="AO10" s="647">
        <f t="shared" si="11"/>
        <v>0.44827142794291264</v>
      </c>
      <c r="AP10" s="647">
        <f t="shared" si="12"/>
        <v>0.40197776478439018</v>
      </c>
      <c r="AQ10" s="647">
        <f t="shared" si="13"/>
        <v>0.42259373782325393</v>
      </c>
      <c r="AR10" s="647"/>
      <c r="AS10" s="647">
        <f t="shared" si="14"/>
        <v>0.22039736352469122</v>
      </c>
      <c r="AT10" s="647">
        <f t="shared" si="15"/>
        <v>0.19136639762298374</v>
      </c>
      <c r="AU10" s="647">
        <f t="shared" si="16"/>
        <v>0.18545687594011875</v>
      </c>
      <c r="AV10" s="647">
        <f t="shared" si="17"/>
        <v>0.19696784682345242</v>
      </c>
      <c r="AW10" s="647">
        <f t="shared" si="18"/>
        <v>0.20073868424726632</v>
      </c>
      <c r="AX10" s="647">
        <f t="shared" si="19"/>
        <v>0.18033858605437719</v>
      </c>
      <c r="AY10" s="647">
        <f t="shared" si="20"/>
        <v>0.21749987859729789</v>
      </c>
      <c r="AZ10" s="647">
        <f t="shared" si="21"/>
        <v>0.18464032089098953</v>
      </c>
      <c r="BA10" s="647">
        <f t="shared" si="22"/>
        <v>0.21280579446982198</v>
      </c>
      <c r="BB10" s="647">
        <f t="shared" si="23"/>
        <v>0.18437519667141183</v>
      </c>
      <c r="BC10" s="647">
        <f t="shared" si="24"/>
        <v>0.21521244355554311</v>
      </c>
      <c r="BD10" s="647">
        <f t="shared" si="25"/>
        <v>0.21956313668533214</v>
      </c>
    </row>
    <row r="11" spans="1:56" ht="15">
      <c r="A11" s="642" t="str">
        <f>VLOOKUP(CONCATENATE($C11," - ",$B11),[1]ACHIEV!$B$17:$C$50,2,FALSE)</f>
        <v>Retro5Med</v>
      </c>
      <c r="B11" s="642" t="str">
        <f>'SC-Retro'!$C$7</f>
        <v>Retro</v>
      </c>
      <c r="C11" s="642" t="str">
        <f>'SC-Retro'!$C$8</f>
        <v>Dairy</v>
      </c>
      <c r="D11" s="642" t="s">
        <v>804</v>
      </c>
      <c r="E11" s="642" t="str">
        <f>INDEX([1]MLIST!A$10:B$42,MATCH($I11,[1]MLIST!$B$10:$B$42,0),1)</f>
        <v>Refrigeration</v>
      </c>
      <c r="F11" s="643">
        <f t="shared" si="1"/>
        <v>1.4192173013927816E-3</v>
      </c>
      <c r="G11" s="644">
        <f>'SC-Retro'!A108</f>
        <v>4.1447481480335853</v>
      </c>
      <c r="H11" s="644">
        <f>'SC-Retro'!B108</f>
        <v>-5.4748497277739405</v>
      </c>
      <c r="I11" s="637" t="str">
        <f>'SC-Retro'!C108</f>
        <v>Plate Milk Pre-cooler</v>
      </c>
      <c r="J11" s="648" t="str">
        <f>'SC-Retro'!D108</f>
        <v>Montana FreeStall</v>
      </c>
      <c r="K11" s="646">
        <f ca="1">'SC-Retro'!E108</f>
        <v>6.2929335367164886E-5</v>
      </c>
      <c r="L11" s="646">
        <f ca="1">'SC-Retro'!F108</f>
        <v>7.742153520168633E-5</v>
      </c>
      <c r="M11" s="646">
        <f ca="1">'SC-Retro'!G108</f>
        <v>9.4742826051517304E-5</v>
      </c>
      <c r="N11" s="646">
        <f ca="1">'SC-Retro'!H108</f>
        <v>1.1014435949226364E-4</v>
      </c>
      <c r="O11" s="646">
        <f ca="1">'SC-Retro'!I108</f>
        <v>1.2555926215640858E-4</v>
      </c>
      <c r="P11" s="646">
        <f ca="1">'SC-Retro'!J108</f>
        <v>1.4671123796720749E-4</v>
      </c>
      <c r="Q11" s="646">
        <f ca="1">'SC-Retro'!K108</f>
        <v>1.6115670570245112E-4</v>
      </c>
      <c r="R11" s="646">
        <f ca="1">'SC-Retro'!L108</f>
        <v>1.6479044817300351E-4</v>
      </c>
      <c r="S11" s="646">
        <f ca="1">'SC-Retro'!M108</f>
        <v>1.5492338514007574E-4</v>
      </c>
      <c r="T11" s="646">
        <f ca="1">'SC-Retro'!N108</f>
        <v>1.3314895838081552E-4</v>
      </c>
      <c r="U11" s="646">
        <f ca="1">'SC-Retro'!O108</f>
        <v>1.030373957056805E-4</v>
      </c>
      <c r="V11" s="646">
        <f ca="1">'SC-Retro'!P108</f>
        <v>7.0271896994327589E-5</v>
      </c>
      <c r="W11" s="646">
        <f ca="1">'SC-Retro'!Q108</f>
        <v>4.2021335634881802E-5</v>
      </c>
      <c r="X11" s="646">
        <f ca="1">'SC-Retro'!R108</f>
        <v>2.1485465345787547E-5</v>
      </c>
      <c r="Y11" s="646">
        <f ca="1">'SC-Retro'!S108</f>
        <v>9.1977797895225385E-6</v>
      </c>
      <c r="Z11" s="646">
        <f ca="1">'SC-Retro'!T108</f>
        <v>3.2228508262496424E-6</v>
      </c>
      <c r="AA11" s="646">
        <f ca="1">'SC-Retro'!U108</f>
        <v>9.0411616810423338E-7</v>
      </c>
      <c r="AB11" s="646">
        <f ca="1">'SC-Retro'!V108</f>
        <v>1.9630212872179343E-7</v>
      </c>
      <c r="AC11" s="646">
        <f ca="1">'SC-Retro'!W108</f>
        <v>3.214634490020634E-8</v>
      </c>
      <c r="AD11" s="646">
        <f ca="1">'SC-Retro'!X108</f>
        <v>3.8588142571706612E-9</v>
      </c>
      <c r="AE11" s="646">
        <f ca="1">'SC-Retro'!Y108</f>
        <v>1.4364052761597346E-3</v>
      </c>
      <c r="AF11" s="647">
        <f t="shared" si="2"/>
        <v>0.23459456669595202</v>
      </c>
      <c r="AG11" s="647">
        <f t="shared" si="3"/>
        <v>0.21432465078005061</v>
      </c>
      <c r="AH11" s="647">
        <f t="shared" si="4"/>
        <v>0.24956664439833867</v>
      </c>
      <c r="AI11" s="647">
        <f t="shared" si="5"/>
        <v>0.22991770417503399</v>
      </c>
      <c r="AJ11" s="647">
        <f t="shared" si="6"/>
        <v>0.23909525280017827</v>
      </c>
      <c r="AK11" s="647">
        <f t="shared" si="7"/>
        <v>0.23925370210936664</v>
      </c>
      <c r="AL11" s="647">
        <f t="shared" si="8"/>
        <v>0.23116607964601685</v>
      </c>
      <c r="AM11" s="647">
        <f t="shared" si="9"/>
        <v>0.24889552505775592</v>
      </c>
      <c r="AN11" s="647">
        <f t="shared" si="10"/>
        <v>0.22072668702217724</v>
      </c>
      <c r="AO11" s="647">
        <f t="shared" si="11"/>
        <v>0.24800947482039537</v>
      </c>
      <c r="AP11" s="647">
        <f t="shared" si="12"/>
        <v>0.22239716412697422</v>
      </c>
      <c r="AQ11" s="647">
        <f t="shared" si="13"/>
        <v>0.23380310331373666</v>
      </c>
      <c r="AR11" s="647"/>
      <c r="AS11" s="647">
        <f t="shared" si="14"/>
        <v>0.12193646744427233</v>
      </c>
      <c r="AT11" s="647">
        <f t="shared" si="15"/>
        <v>0.10587487137099283</v>
      </c>
      <c r="AU11" s="647">
        <f t="shared" si="16"/>
        <v>0.10260538489996633</v>
      </c>
      <c r="AV11" s="647">
        <f t="shared" si="17"/>
        <v>0.10897391446819928</v>
      </c>
      <c r="AW11" s="647">
        <f t="shared" si="18"/>
        <v>0.11106015809386323</v>
      </c>
      <c r="AX11" s="647">
        <f t="shared" si="19"/>
        <v>9.9773653258343697E-2</v>
      </c>
      <c r="AY11" s="647">
        <f t="shared" si="20"/>
        <v>0.12033341253077838</v>
      </c>
      <c r="AZ11" s="647">
        <f t="shared" si="21"/>
        <v>0.10215361979455732</v>
      </c>
      <c r="BA11" s="647">
        <f t="shared" si="22"/>
        <v>0.1177363758546726</v>
      </c>
      <c r="BB11" s="647">
        <f t="shared" si="23"/>
        <v>0.10200693786401052</v>
      </c>
      <c r="BC11" s="647">
        <f t="shared" si="24"/>
        <v>0.11906787221741355</v>
      </c>
      <c r="BD11" s="647">
        <f t="shared" si="25"/>
        <v>0.12147492529053758</v>
      </c>
    </row>
    <row r="12" spans="1:56" ht="15">
      <c r="A12" s="642" t="str">
        <f>VLOOKUP(CONCATENATE($C12," - ",$B12),[1]ACHIEV!$B$17:$C$50,2,FALSE)</f>
        <v>Retro5Med</v>
      </c>
      <c r="B12" s="642" t="str">
        <f>'SC-Retro'!$C$7</f>
        <v>Retro</v>
      </c>
      <c r="C12" s="642" t="str">
        <f>'SC-Retro'!$C$8</f>
        <v>Dairy</v>
      </c>
      <c r="D12" s="642" t="s">
        <v>804</v>
      </c>
      <c r="E12" s="642" t="str">
        <f>INDEX([1]MLIST!A$10:B$42,MATCH($I12,[1]MLIST!$B$10:$B$42,0),1)</f>
        <v>Lighting</v>
      </c>
      <c r="F12" s="643">
        <f t="shared" si="1"/>
        <v>9.9436746959285252E-5</v>
      </c>
      <c r="G12" s="644">
        <f>'SC-Retro'!A109</f>
        <v>0.56446323784331998</v>
      </c>
      <c r="H12" s="644">
        <f>'SC-Retro'!B109</f>
        <v>4.7413092438539524</v>
      </c>
      <c r="I12" s="637" t="str">
        <f>'SC-Retro'!C109</f>
        <v>Energy Efficient Lighting</v>
      </c>
      <c r="J12" s="648" t="str">
        <f>'SC-Retro'!D109</f>
        <v>Montana FreeStall</v>
      </c>
      <c r="K12" s="646">
        <f ca="1">'SC-Retro'!E109</f>
        <v>4.0769310952172183E-5</v>
      </c>
      <c r="L12" s="646">
        <f ca="1">'SC-Retro'!F109</f>
        <v>5.015820721156141E-5</v>
      </c>
      <c r="M12" s="646">
        <f ca="1">'SC-Retro'!G109</f>
        <v>6.1379954408310598E-5</v>
      </c>
      <c r="N12" s="646">
        <f ca="1">'SC-Retro'!H109</f>
        <v>7.1357970262482434E-5</v>
      </c>
      <c r="O12" s="646">
        <f ca="1">'SC-Retro'!I109</f>
        <v>8.1344647482974828E-5</v>
      </c>
      <c r="P12" s="646">
        <f ca="1">'SC-Retro'!J109</f>
        <v>9.5048136865976318E-5</v>
      </c>
      <c r="Q12" s="646">
        <f ca="1">'SC-Retro'!K109</f>
        <v>1.0440675733306948E-4</v>
      </c>
      <c r="R12" s="646">
        <f ca="1">'SC-Retro'!L109</f>
        <v>1.0676090863369425E-4</v>
      </c>
      <c r="S12" s="646">
        <f ca="1">'SC-Retro'!M109</f>
        <v>1.0036844701580129E-4</v>
      </c>
      <c r="T12" s="646">
        <f ca="1">'SC-Retro'!N109</f>
        <v>8.6261697434321131E-5</v>
      </c>
      <c r="U12" s="646">
        <f ca="1">'SC-Retro'!O109</f>
        <v>6.6753662671269274E-5</v>
      </c>
      <c r="V12" s="646">
        <f ca="1">'SC-Retro'!P109</f>
        <v>4.552625262995573E-5</v>
      </c>
      <c r="W12" s="646">
        <f ca="1">'SC-Retro'!Q109</f>
        <v>2.7223883569219922E-5</v>
      </c>
      <c r="X12" s="646">
        <f ca="1">'SC-Retro'!R109</f>
        <v>1.3919543445418019E-5</v>
      </c>
      <c r="Y12" s="646">
        <f ca="1">'SC-Retro'!S109</f>
        <v>5.9588607144945201E-6</v>
      </c>
      <c r="Z12" s="646">
        <f ca="1">'SC-Retro'!T109</f>
        <v>2.0879516162249961E-6</v>
      </c>
      <c r="AA12" s="646">
        <f ca="1">'SC-Retro'!U109</f>
        <v>5.8573943263924418E-7</v>
      </c>
      <c r="AB12" s="646">
        <f ca="1">'SC-Retro'!V109</f>
        <v>1.2717602179869783E-7</v>
      </c>
      <c r="AC12" s="646">
        <f ca="1">'SC-Retro'!W109</f>
        <v>2.0826285921591354E-8</v>
      </c>
      <c r="AD12" s="646">
        <f ca="1">'SC-Retro'!X109</f>
        <v>2.4999659926386682E-9</v>
      </c>
      <c r="AE12" s="646">
        <f ca="1">'SC-Retro'!Y109</f>
        <v>9.3058750764516958E-4</v>
      </c>
      <c r="AF12" s="647">
        <f t="shared" si="2"/>
        <v>3.3986869962608982E-2</v>
      </c>
      <c r="AG12" s="647">
        <f t="shared" si="3"/>
        <v>3.0758676401567858E-2</v>
      </c>
      <c r="AH12" s="647">
        <f t="shared" si="4"/>
        <v>3.581228819474646E-2</v>
      </c>
      <c r="AI12" s="647">
        <f t="shared" si="5"/>
        <v>3.3302752496035835E-2</v>
      </c>
      <c r="AJ12" s="647">
        <f t="shared" si="6"/>
        <v>3.406342647694726E-2</v>
      </c>
      <c r="AK12" s="647">
        <f t="shared" si="7"/>
        <v>3.3258921334712525E-2</v>
      </c>
      <c r="AL12" s="647">
        <f t="shared" si="8"/>
        <v>3.1633726806545373E-2</v>
      </c>
      <c r="AM12" s="647">
        <f t="shared" si="9"/>
        <v>3.3961303817532908E-2</v>
      </c>
      <c r="AN12" s="647">
        <f t="shared" si="10"/>
        <v>3.1263530387468458E-2</v>
      </c>
      <c r="AO12" s="647">
        <f t="shared" si="11"/>
        <v>3.5473706871937703E-2</v>
      </c>
      <c r="AP12" s="647">
        <f t="shared" si="12"/>
        <v>3.1671299890828036E-2</v>
      </c>
      <c r="AQ12" s="647">
        <f t="shared" si="13"/>
        <v>3.3547198730559835E-2</v>
      </c>
      <c r="AR12" s="647"/>
      <c r="AS12" s="647">
        <f t="shared" si="14"/>
        <v>1.5280570700668168E-2</v>
      </c>
      <c r="AT12" s="647">
        <f t="shared" si="15"/>
        <v>1.3261972106745276E-2</v>
      </c>
      <c r="AU12" s="647">
        <f t="shared" si="16"/>
        <v>1.3006997071326236E-2</v>
      </c>
      <c r="AV12" s="647">
        <f t="shared" si="17"/>
        <v>1.3508436852216569E-2</v>
      </c>
      <c r="AW12" s="647">
        <f t="shared" si="18"/>
        <v>1.3632696113079297E-2</v>
      </c>
      <c r="AX12" s="647">
        <f t="shared" si="19"/>
        <v>1.2439188145427604E-2</v>
      </c>
      <c r="AY12" s="647">
        <f t="shared" si="20"/>
        <v>1.4603464606939412E-2</v>
      </c>
      <c r="AZ12" s="647">
        <f t="shared" si="21"/>
        <v>1.2559544929617654E-2</v>
      </c>
      <c r="BA12" s="647">
        <f t="shared" si="22"/>
        <v>1.4643675940229039E-2</v>
      </c>
      <c r="BB12" s="647">
        <f t="shared" si="23"/>
        <v>1.2710254502815961E-2</v>
      </c>
      <c r="BC12" s="647">
        <f t="shared" si="24"/>
        <v>1.4849388231467881E-2</v>
      </c>
      <c r="BD12" s="647">
        <f t="shared" si="25"/>
        <v>1.5233347271295581E-2</v>
      </c>
    </row>
    <row r="13" spans="1:56" ht="15">
      <c r="A13" s="642" t="str">
        <f>VLOOKUP(CONCATENATE($C13," - ",$B13),[1]ACHIEV!$B$17:$C$50,2,FALSE)</f>
        <v>Retro5Med</v>
      </c>
      <c r="B13" s="642" t="str">
        <f>'SC-Retro'!$C$7</f>
        <v>Retro</v>
      </c>
      <c r="C13" s="642" t="str">
        <f>'SC-Retro'!$C$8</f>
        <v>Dairy</v>
      </c>
      <c r="D13" s="642" t="s">
        <v>804</v>
      </c>
      <c r="E13" s="642" t="str">
        <f>INDEX([1]MLIST!A$10:B$42,MATCH($I13,[1]MLIST!$B$10:$B$42,0),1)</f>
        <v>Motors/Drives</v>
      </c>
      <c r="F13" s="643">
        <f t="shared" si="1"/>
        <v>1.7982490631536358E-3</v>
      </c>
      <c r="G13" s="644">
        <f>'SC-Retro'!A110</f>
        <v>5.2516901160200797</v>
      </c>
      <c r="H13" s="644">
        <f>'SC-Retro'!B110</f>
        <v>-6.6853843794400083</v>
      </c>
      <c r="I13" s="637" t="str">
        <f>'SC-Retro'!C110</f>
        <v>VSD - Vacuum Pump</v>
      </c>
      <c r="J13" s="648" t="str">
        <f>'SC-Retro'!D110</f>
        <v>Montana TieStall</v>
      </c>
      <c r="K13" s="646">
        <f>'SC-Retro'!E110</f>
        <v>4.969336557189408E-5</v>
      </c>
      <c r="L13" s="646">
        <f>'SC-Retro'!F110</f>
        <v>6.1015527732213395E-5</v>
      </c>
      <c r="M13" s="646">
        <f>'SC-Retro'!G110</f>
        <v>7.4665150212424534E-5</v>
      </c>
      <c r="N13" s="646">
        <f>'SC-Retro'!H110</f>
        <v>8.6674474834698989E-5</v>
      </c>
      <c r="O13" s="646">
        <f>'SC-Retro'!I110</f>
        <v>9.8863214392353133E-5</v>
      </c>
      <c r="P13" s="646">
        <f>'SC-Retro'!J110</f>
        <v>1.1558298126765885E-4</v>
      </c>
      <c r="Q13" s="646">
        <f>'SC-Retro'!K110</f>
        <v>1.2679632539745023E-4</v>
      </c>
      <c r="R13" s="646">
        <f>'SC-Retro'!L110</f>
        <v>1.2953140289893964E-4</v>
      </c>
      <c r="S13" s="646">
        <f>'SC-Retro'!M110</f>
        <v>1.2206780205182774E-4</v>
      </c>
      <c r="T13" s="646">
        <f>'SC-Retro'!N110</f>
        <v>1.0492761536481402E-4</v>
      </c>
      <c r="U13" s="646">
        <f>'SC-Retro'!O110</f>
        <v>8.1197418840722767E-5</v>
      </c>
      <c r="V13" s="646">
        <f>'SC-Retro'!P110</f>
        <v>5.5724014206517477E-5</v>
      </c>
      <c r="W13" s="646">
        <f>'SC-Retro'!Q110</f>
        <v>3.3345675093081643E-5</v>
      </c>
      <c r="X13" s="646">
        <f>'SC-Retro'!R110</f>
        <v>1.7073675347785186E-5</v>
      </c>
      <c r="Y13" s="646">
        <f>'SC-Retro'!S110</f>
        <v>7.3251885010445483E-6</v>
      </c>
      <c r="Z13" s="646">
        <f>'SC-Retro'!T110</f>
        <v>2.5734896450743729E-6</v>
      </c>
      <c r="AA13" s="646">
        <f>'SC-Retro'!U110</f>
        <v>7.2195217168187006E-7</v>
      </c>
      <c r="AB13" s="646">
        <f>'SC-Retro'!V110</f>
        <v>1.5735279269553206E-7</v>
      </c>
      <c r="AC13" s="646">
        <f>'SC-Retro'!W110</f>
        <v>2.5864399009386562E-8</v>
      </c>
      <c r="AD13" s="646">
        <f>'SC-Retro'!X110</f>
        <v>3.1046084720518911E-9</v>
      </c>
      <c r="AE13" s="646">
        <f>'SC-Retro'!Y110</f>
        <v>1.1556596644626532E-3</v>
      </c>
      <c r="AF13" s="647">
        <f t="shared" si="2"/>
        <v>0.29724796855839297</v>
      </c>
      <c r="AG13" s="647">
        <f t="shared" si="3"/>
        <v>0.27156454624512122</v>
      </c>
      <c r="AH13" s="647">
        <f t="shared" si="4"/>
        <v>0.31621865379127323</v>
      </c>
      <c r="AI13" s="647">
        <f t="shared" si="5"/>
        <v>0.29132205176010867</v>
      </c>
      <c r="AJ13" s="647">
        <f t="shared" si="6"/>
        <v>0.3029506573309515</v>
      </c>
      <c r="AK13" s="647">
        <f t="shared" si="7"/>
        <v>0.30315142385312238</v>
      </c>
      <c r="AL13" s="647">
        <f t="shared" si="8"/>
        <v>0.29290383209702803</v>
      </c>
      <c r="AM13" s="647">
        <f t="shared" si="9"/>
        <v>0.31536829794775101</v>
      </c>
      <c r="AN13" s="647">
        <f t="shared" si="10"/>
        <v>0.27967638060859878</v>
      </c>
      <c r="AO13" s="647">
        <f t="shared" si="11"/>
        <v>0.3142456094012705</v>
      </c>
      <c r="AP13" s="647">
        <f t="shared" si="12"/>
        <v>0.28179299367819194</v>
      </c>
      <c r="AQ13" s="647">
        <f t="shared" si="13"/>
        <v>0.29624512827157257</v>
      </c>
      <c r="AR13" s="647"/>
      <c r="AS13" s="647">
        <f t="shared" si="14"/>
        <v>0.1545021598389047</v>
      </c>
      <c r="AT13" s="647">
        <f t="shared" si="15"/>
        <v>0.13415097749129504</v>
      </c>
      <c r="AU13" s="647">
        <f t="shared" si="16"/>
        <v>0.13000830604996816</v>
      </c>
      <c r="AV13" s="647">
        <f t="shared" si="17"/>
        <v>0.13807768507917126</v>
      </c>
      <c r="AW13" s="647">
        <f t="shared" si="18"/>
        <v>0.14072110384364006</v>
      </c>
      <c r="AX13" s="647">
        <f t="shared" si="19"/>
        <v>0.12642030105126001</v>
      </c>
      <c r="AY13" s="647">
        <f t="shared" si="20"/>
        <v>0.15247097547161625</v>
      </c>
      <c r="AZ13" s="647">
        <f t="shared" si="21"/>
        <v>0.12943588759313987</v>
      </c>
      <c r="BA13" s="647">
        <f t="shared" si="22"/>
        <v>0.14918034565389932</v>
      </c>
      <c r="BB13" s="647">
        <f t="shared" si="23"/>
        <v>0.12925003117500822</v>
      </c>
      <c r="BC13" s="647">
        <f t="shared" si="24"/>
        <v>0.15086744606096286</v>
      </c>
      <c r="BD13" s="647">
        <f t="shared" si="25"/>
        <v>0.15391735316782978</v>
      </c>
    </row>
    <row r="14" spans="1:56" ht="15">
      <c r="A14" s="642" t="str">
        <f>VLOOKUP(CONCATENATE($C14," - ",$B14),[1]ACHIEV!$B$17:$C$50,2,FALSE)</f>
        <v>Retro5Med</v>
      </c>
      <c r="B14" s="642" t="str">
        <f>'SC-Retro'!$C$7</f>
        <v>Retro</v>
      </c>
      <c r="C14" s="642" t="str">
        <f>'SC-Retro'!$C$8</f>
        <v>Dairy</v>
      </c>
      <c r="D14" s="642" t="s">
        <v>804</v>
      </c>
      <c r="E14" s="642" t="str">
        <f>INDEX([1]MLIST!A$10:B$42,MATCH($I14,[1]MLIST!$B$10:$B$42,0),1)</f>
        <v>Refrigeration</v>
      </c>
      <c r="F14" s="643">
        <f t="shared" si="1"/>
        <v>1.9029775194882078E-3</v>
      </c>
      <c r="G14" s="644">
        <f>'SC-Retro'!A111</f>
        <v>5.5575439658943351</v>
      </c>
      <c r="H14" s="644">
        <f>'SC-Retro'!B111</f>
        <v>-6.6357268278525448</v>
      </c>
      <c r="I14" s="637" t="str">
        <f>'SC-Retro'!C111</f>
        <v>Heat Recovery Refrigeration</v>
      </c>
      <c r="J14" s="648" t="str">
        <f>'SC-Retro'!D111</f>
        <v>Montana TieStall</v>
      </c>
      <c r="K14" s="646">
        <f>'SC-Retro'!E111</f>
        <v>2.7583798644153519E-4</v>
      </c>
      <c r="L14" s="646">
        <f>'SC-Retro'!F111</f>
        <v>3.3868505619672596E-4</v>
      </c>
      <c r="M14" s="646">
        <f>'SC-Retro'!G111</f>
        <v>4.144513951697103E-4</v>
      </c>
      <c r="N14" s="646">
        <f>'SC-Retro'!H111</f>
        <v>4.8111276704918931E-4</v>
      </c>
      <c r="O14" s="646">
        <f>'SC-Retro'!I111</f>
        <v>5.4877003554269581E-4</v>
      </c>
      <c r="P14" s="646">
        <f>'SC-Retro'!J111</f>
        <v>6.4157813528759771E-4</v>
      </c>
      <c r="Q14" s="646">
        <f>'SC-Retro'!K111</f>
        <v>7.0382117780325799E-4</v>
      </c>
      <c r="R14" s="646">
        <f>'SC-Retro'!L111</f>
        <v>7.1900304890596864E-4</v>
      </c>
      <c r="S14" s="646">
        <f>'SC-Retro'!M111</f>
        <v>6.7757408538985948E-4</v>
      </c>
      <c r="T14" s="646">
        <f>'SC-Retro'!N111</f>
        <v>5.8243231890721424E-4</v>
      </c>
      <c r="U14" s="646">
        <f>'SC-Retro'!O111</f>
        <v>4.5071071881560345E-4</v>
      </c>
      <c r="V14" s="646">
        <f>'SC-Retro'!P111</f>
        <v>3.0931291729330583E-4</v>
      </c>
      <c r="W14" s="646">
        <f>'SC-Retro'!Q111</f>
        <v>1.8509520875381331E-4</v>
      </c>
      <c r="X14" s="646">
        <f>'SC-Retro'!R111</f>
        <v>9.4772575270152647E-5</v>
      </c>
      <c r="Y14" s="646">
        <f>'SC-Retro'!S111</f>
        <v>4.066066411842351E-5</v>
      </c>
      <c r="Z14" s="646">
        <f>'SC-Retro'!T111</f>
        <v>1.4284929057551039E-5</v>
      </c>
      <c r="AA14" s="646">
        <f>'SC-Retro'!U111</f>
        <v>4.0074128820216721E-6</v>
      </c>
      <c r="AB14" s="646">
        <f>'SC-Retro'!V111</f>
        <v>8.7343404896360122E-7</v>
      </c>
      <c r="AC14" s="646">
        <f>'SC-Retro'!W111</f>
        <v>1.4356813351568894E-7</v>
      </c>
      <c r="AD14" s="646">
        <f>'SC-Retro'!X111</f>
        <v>1.7233064006928038E-8</v>
      </c>
      <c r="AE14" s="646">
        <f>'SC-Retro'!Y111</f>
        <v>6.4148368939891927E-3</v>
      </c>
      <c r="AF14" s="647">
        <f t="shared" si="2"/>
        <v>0.31455943087669597</v>
      </c>
      <c r="AG14" s="647">
        <f t="shared" si="3"/>
        <v>0.28738022845855893</v>
      </c>
      <c r="AH14" s="647">
        <f t="shared" si="4"/>
        <v>0.33463495226423234</v>
      </c>
      <c r="AI14" s="647">
        <f t="shared" si="5"/>
        <v>0.30828839385487428</v>
      </c>
      <c r="AJ14" s="647">
        <f t="shared" si="6"/>
        <v>0.32059423926735631</v>
      </c>
      <c r="AK14" s="647">
        <f t="shared" si="7"/>
        <v>0.32080669825659497</v>
      </c>
      <c r="AL14" s="647">
        <f t="shared" si="8"/>
        <v>0.30996229569839712</v>
      </c>
      <c r="AM14" s="647">
        <f t="shared" si="9"/>
        <v>0.33373507243838091</v>
      </c>
      <c r="AN14" s="647">
        <f t="shared" si="10"/>
        <v>0.29596448897719813</v>
      </c>
      <c r="AO14" s="647">
        <f t="shared" si="11"/>
        <v>0.33254699949058103</v>
      </c>
      <c r="AP14" s="647">
        <f t="shared" si="12"/>
        <v>0.29820437174506514</v>
      </c>
      <c r="AQ14" s="647">
        <f t="shared" si="13"/>
        <v>0.3134981860466225</v>
      </c>
      <c r="AR14" s="647"/>
      <c r="AS14" s="647">
        <f t="shared" si="14"/>
        <v>0.16350023081351658</v>
      </c>
      <c r="AT14" s="647">
        <f t="shared" si="15"/>
        <v>0.14196381336387345</v>
      </c>
      <c r="AU14" s="647">
        <f t="shared" si="16"/>
        <v>0.13757987635258673</v>
      </c>
      <c r="AV14" s="647">
        <f t="shared" si="17"/>
        <v>0.14611920897532873</v>
      </c>
      <c r="AW14" s="647">
        <f t="shared" si="18"/>
        <v>0.14891657814206447</v>
      </c>
      <c r="AX14" s="647">
        <f t="shared" si="19"/>
        <v>0.13378290907354995</v>
      </c>
      <c r="AY14" s="647">
        <f t="shared" si="20"/>
        <v>0.1613507520410338</v>
      </c>
      <c r="AZ14" s="647">
        <f t="shared" si="21"/>
        <v>0.13697412074430965</v>
      </c>
      <c r="BA14" s="647">
        <f t="shared" si="22"/>
        <v>0.15786847881404761</v>
      </c>
      <c r="BB14" s="647">
        <f t="shared" si="23"/>
        <v>0.13677744021055926</v>
      </c>
      <c r="BC14" s="647">
        <f t="shared" si="24"/>
        <v>0.15965383447670037</v>
      </c>
      <c r="BD14" s="647">
        <f t="shared" si="25"/>
        <v>0.16288136551220478</v>
      </c>
    </row>
    <row r="15" spans="1:56" ht="15">
      <c r="A15" s="642" t="str">
        <f>VLOOKUP(CONCATENATE($C15," - ",$B15),[1]ACHIEV!$B$17:$C$50,2,FALSE)</f>
        <v>Retro5Med</v>
      </c>
      <c r="B15" s="642" t="str">
        <f>'SC-Retro'!$C$7</f>
        <v>Retro</v>
      </c>
      <c r="C15" s="642" t="str">
        <f>'SC-Retro'!$C$8</f>
        <v>Dairy</v>
      </c>
      <c r="D15" s="642" t="s">
        <v>804</v>
      </c>
      <c r="E15" s="642" t="str">
        <f>INDEX([1]MLIST!A$10:B$42,MATCH($I15,[1]MLIST!$B$10:$B$42,0),1)</f>
        <v>Refrigeration</v>
      </c>
      <c r="F15" s="643">
        <f t="shared" si="1"/>
        <v>1.4713856900822407E-3</v>
      </c>
      <c r="G15" s="644">
        <f>'SC-Retro'!A112</f>
        <v>4.297103134260384</v>
      </c>
      <c r="H15" s="644">
        <f>'SC-Retro'!B112</f>
        <v>-7.6191296344260442</v>
      </c>
      <c r="I15" s="637" t="str">
        <f>'SC-Retro'!C112</f>
        <v>Plate Milk Pre-Cooler</v>
      </c>
      <c r="J15" s="648" t="str">
        <f>'SC-Retro'!D112</f>
        <v>Montana TieStall</v>
      </c>
      <c r="K15" s="646">
        <f>'SC-Retro'!E112</f>
        <v>1.3680590429938715E-4</v>
      </c>
      <c r="L15" s="646">
        <f>'SC-Retro'!F112</f>
        <v>1.6797583242039263E-4</v>
      </c>
      <c r="M15" s="646">
        <f>'SC-Retro'!G112</f>
        <v>2.0555326202815249E-4</v>
      </c>
      <c r="N15" s="646">
        <f>'SC-Retro'!H112</f>
        <v>2.3861494935939617E-4</v>
      </c>
      <c r="O15" s="646">
        <f>'SC-Retro'!I112</f>
        <v>2.7217056625642724E-4</v>
      </c>
      <c r="P15" s="646">
        <f>'SC-Retro'!J112</f>
        <v>3.1820010763940898E-4</v>
      </c>
      <c r="Q15" s="646">
        <f>'SC-Retro'!K112</f>
        <v>3.4907045957153831E-4</v>
      </c>
      <c r="R15" s="646">
        <f>'SC-Retro'!L112</f>
        <v>3.5660013172422896E-4</v>
      </c>
      <c r="S15" s="646">
        <f>'SC-Retro'!M112</f>
        <v>3.3605282824683439E-4</v>
      </c>
      <c r="T15" s="646">
        <f>'SC-Retro'!N112</f>
        <v>2.888658705394769E-4</v>
      </c>
      <c r="U15" s="646">
        <f>'SC-Retro'!O112</f>
        <v>2.2353660661623363E-4</v>
      </c>
      <c r="V15" s="646">
        <f>'SC-Retro'!P112</f>
        <v>1.5340828834958608E-4</v>
      </c>
      <c r="W15" s="646">
        <f>'SC-Retro'!Q112</f>
        <v>9.180068975168644E-5</v>
      </c>
      <c r="X15" s="646">
        <f>'SC-Retro'!R112</f>
        <v>4.7003851898270145E-5</v>
      </c>
      <c r="Y15" s="646">
        <f>'SC-Retro'!S112</f>
        <v>2.0166254096817764E-5</v>
      </c>
      <c r="Z15" s="646">
        <f>'SC-Retro'!T112</f>
        <v>7.0848205600031598E-6</v>
      </c>
      <c r="AA15" s="646">
        <f>'SC-Retro'!U112</f>
        <v>1.9875353293379286E-6</v>
      </c>
      <c r="AB15" s="646">
        <f>'SC-Retro'!V112</f>
        <v>4.3319245639746994E-7</v>
      </c>
      <c r="AC15" s="646">
        <f>'SC-Retro'!W112</f>
        <v>7.1204726323478805E-8</v>
      </c>
      <c r="AD15" s="646">
        <f>'SC-Retro'!X112</f>
        <v>8.5469914268559548E-9</v>
      </c>
      <c r="AE15" s="646">
        <f>'SC-Retro'!Y112</f>
        <v>3.1815326581252829E-3</v>
      </c>
      <c r="AF15" s="647">
        <f t="shared" si="2"/>
        <v>0.2432179258727456</v>
      </c>
      <c r="AG15" s="647">
        <f t="shared" si="3"/>
        <v>0.22220291697413769</v>
      </c>
      <c r="AH15" s="647">
        <f t="shared" si="4"/>
        <v>0.25874035563770953</v>
      </c>
      <c r="AI15" s="647">
        <f t="shared" si="5"/>
        <v>0.23836914860586231</v>
      </c>
      <c r="AJ15" s="647">
        <f t="shared" si="6"/>
        <v>0.24788405073101188</v>
      </c>
      <c r="AK15" s="647">
        <f t="shared" si="7"/>
        <v>0.24804832440912616</v>
      </c>
      <c r="AL15" s="647">
        <f t="shared" si="8"/>
        <v>0.23966341256533577</v>
      </c>
      <c r="AM15" s="647">
        <f t="shared" si="9"/>
        <v>0.25804456691451555</v>
      </c>
      <c r="AN15" s="647">
        <f t="shared" si="10"/>
        <v>0.22884028286927482</v>
      </c>
      <c r="AO15" s="647">
        <f t="shared" si="11"/>
        <v>0.25712594674361794</v>
      </c>
      <c r="AP15" s="647">
        <f t="shared" si="12"/>
        <v>0.23057216431209274</v>
      </c>
      <c r="AQ15" s="647">
        <f t="shared" si="13"/>
        <v>0.24239736943387402</v>
      </c>
      <c r="AR15" s="647"/>
      <c r="AS15" s="647">
        <f t="shared" si="14"/>
        <v>0.12641867677388635</v>
      </c>
      <c r="AT15" s="647">
        <f t="shared" si="15"/>
        <v>0.10976667950827243</v>
      </c>
      <c r="AU15" s="647">
        <f t="shared" si="16"/>
        <v>0.10637701141257996</v>
      </c>
      <c r="AV15" s="647">
        <f t="shared" si="17"/>
        <v>0.11297963897663768</v>
      </c>
      <c r="AW15" s="647">
        <f t="shared" si="18"/>
        <v>0.11514256992020407</v>
      </c>
      <c r="AX15" s="647">
        <f t="shared" si="19"/>
        <v>0.10344118938479911</v>
      </c>
      <c r="AY15" s="647">
        <f t="shared" si="20"/>
        <v>0.12475669586524309</v>
      </c>
      <c r="AZ15" s="647">
        <f t="shared" si="21"/>
        <v>0.10590864007104898</v>
      </c>
      <c r="BA15" s="647">
        <f t="shared" si="22"/>
        <v>0.12206419585267227</v>
      </c>
      <c r="BB15" s="647">
        <f t="shared" si="23"/>
        <v>0.10575656632350632</v>
      </c>
      <c r="BC15" s="647">
        <f t="shared" si="24"/>
        <v>0.1234446361084463</v>
      </c>
      <c r="BD15" s="647">
        <f t="shared" si="25"/>
        <v>0.12594016899378208</v>
      </c>
    </row>
    <row r="16" spans="1:56" ht="15">
      <c r="A16" s="642" t="str">
        <f>VLOOKUP(CONCATENATE($C16," - ",$B16),[1]ACHIEV!$B$17:$C$50,2,FALSE)</f>
        <v>Retro5Med</v>
      </c>
      <c r="B16" s="642" t="str">
        <f>'SC-Retro'!$C$7</f>
        <v>Retro</v>
      </c>
      <c r="C16" s="642" t="str">
        <f>'SC-Retro'!$C$8</f>
        <v>Dairy</v>
      </c>
      <c r="D16" s="642" t="s">
        <v>804</v>
      </c>
      <c r="E16" s="642" t="str">
        <f>INDEX([1]MLIST!A$10:B$42,MATCH($I16,[1]MLIST!$B$10:$B$42,0),1)</f>
        <v>Lighting</v>
      </c>
      <c r="F16" s="643">
        <f t="shared" si="1"/>
        <v>5.3639795134547634E-4</v>
      </c>
      <c r="G16" s="644">
        <f>'SC-Retro'!A113</f>
        <v>3.0449198475183858</v>
      </c>
      <c r="H16" s="644">
        <f>'SC-Retro'!B113</f>
        <v>3.9511787212703759</v>
      </c>
      <c r="I16" s="637" t="str">
        <f>'SC-Retro'!C113</f>
        <v>Energy Efficient Lighting</v>
      </c>
      <c r="J16" s="648" t="str">
        <f>'SC-Retro'!D113</f>
        <v>Montana TieStall</v>
      </c>
      <c r="K16" s="646">
        <f>'SC-Retro'!E113</f>
        <v>1.2910150256931214E-5</v>
      </c>
      <c r="L16" s="646">
        <f>'SC-Retro'!F113</f>
        <v>1.5851605580813236E-5</v>
      </c>
      <c r="M16" s="646">
        <f>'SC-Retro'!G113</f>
        <v>1.9397726378668373E-5</v>
      </c>
      <c r="N16" s="646">
        <f>'SC-Retro'!H113</f>
        <v>2.2517703936507939E-5</v>
      </c>
      <c r="O16" s="646">
        <f>'SC-Retro'!I113</f>
        <v>2.5684292822588859E-5</v>
      </c>
      <c r="P16" s="646">
        <f>'SC-Retro'!J113</f>
        <v>3.0028025635548969E-5</v>
      </c>
      <c r="Q16" s="646">
        <f>'SC-Retro'!K113</f>
        <v>3.294121044266056E-5</v>
      </c>
      <c r="R16" s="646">
        <f>'SC-Retro'!L113</f>
        <v>3.3651773333746995E-5</v>
      </c>
      <c r="S16" s="646">
        <f>'SC-Retro'!M113</f>
        <v>3.1712757787404689E-5</v>
      </c>
      <c r="T16" s="646">
        <f>'SC-Retro'!N113</f>
        <v>2.7259801481978822E-5</v>
      </c>
      <c r="U16" s="646">
        <f>'SC-Retro'!O113</f>
        <v>2.1094785302720508E-5</v>
      </c>
      <c r="V16" s="646">
        <f>'SC-Retro'!P113</f>
        <v>1.4476890185365039E-5</v>
      </c>
      <c r="W16" s="646">
        <f>'SC-Retro'!Q113</f>
        <v>8.6630814982267309E-6</v>
      </c>
      <c r="X16" s="646">
        <f>'SC-Retro'!R113</f>
        <v>4.4356769086020179E-6</v>
      </c>
      <c r="Y16" s="646">
        <f>'SC-Retro'!S113</f>
        <v>1.9030565372355662E-6</v>
      </c>
      <c r="Z16" s="646">
        <f>'SC-Retro'!T113</f>
        <v>6.6858297119158848E-7</v>
      </c>
      <c r="AA16" s="646">
        <f>'SC-Retro'!U113</f>
        <v>1.8756047024519307E-7</v>
      </c>
      <c r="AB16" s="646">
        <f>'SC-Retro'!V113</f>
        <v>4.0879666202283312E-8</v>
      </c>
      <c r="AC16" s="646">
        <f>'SC-Retro'!W113</f>
        <v>6.7194739916199277E-9</v>
      </c>
      <c r="AD16" s="646">
        <f>'SC-Retro'!X113</f>
        <v>8.0656565321872302E-10</v>
      </c>
      <c r="AE16" s="646">
        <f>'SC-Retro'!Y113</f>
        <v>3.0023605248677247E-4</v>
      </c>
      <c r="AF16" s="647">
        <f t="shared" si="2"/>
        <v>0.18333752840942297</v>
      </c>
      <c r="AG16" s="647">
        <f t="shared" si="3"/>
        <v>0.16592347912039981</v>
      </c>
      <c r="AH16" s="647">
        <f t="shared" si="4"/>
        <v>0.19318449776440541</v>
      </c>
      <c r="AI16" s="647">
        <f t="shared" si="5"/>
        <v>0.17964715016625954</v>
      </c>
      <c r="AJ16" s="647">
        <f t="shared" si="6"/>
        <v>0.18375050207065927</v>
      </c>
      <c r="AK16" s="647">
        <f t="shared" si="7"/>
        <v>0.17941070895254463</v>
      </c>
      <c r="AL16" s="647">
        <f t="shared" si="8"/>
        <v>0.17064381902397849</v>
      </c>
      <c r="AM16" s="647">
        <f t="shared" si="9"/>
        <v>0.18319961533139134</v>
      </c>
      <c r="AN16" s="647">
        <f t="shared" si="10"/>
        <v>0.16864684499917862</v>
      </c>
      <c r="AO16" s="647">
        <f t="shared" si="11"/>
        <v>0.19135806705873457</v>
      </c>
      <c r="AP16" s="647">
        <f t="shared" si="12"/>
        <v>0.17084650189576633</v>
      </c>
      <c r="AQ16" s="647">
        <f t="shared" si="13"/>
        <v>0.18096578199425445</v>
      </c>
      <c r="AR16" s="647"/>
      <c r="AS16" s="647">
        <f t="shared" si="14"/>
        <v>8.242895176955245E-2</v>
      </c>
      <c r="AT16" s="647">
        <f t="shared" si="15"/>
        <v>7.1539897335657465E-2</v>
      </c>
      <c r="AU16" s="647">
        <f t="shared" si="16"/>
        <v>7.0164469329157875E-2</v>
      </c>
      <c r="AV16" s="647">
        <f t="shared" si="17"/>
        <v>7.2869417745288489E-2</v>
      </c>
      <c r="AW16" s="647">
        <f t="shared" si="18"/>
        <v>7.3539717357862924E-2</v>
      </c>
      <c r="AX16" s="647">
        <f t="shared" si="19"/>
        <v>6.7101501624347415E-2</v>
      </c>
      <c r="AY16" s="647">
        <f t="shared" si="20"/>
        <v>7.8776395419651382E-2</v>
      </c>
      <c r="AZ16" s="647">
        <f t="shared" si="21"/>
        <v>6.7750749859474282E-2</v>
      </c>
      <c r="BA16" s="647">
        <f t="shared" si="22"/>
        <v>7.8993309965400327E-2</v>
      </c>
      <c r="BB16" s="647">
        <f t="shared" si="23"/>
        <v>6.856373206961057E-2</v>
      </c>
      <c r="BC16" s="647">
        <f t="shared" si="24"/>
        <v>8.0102996826257503E-2</v>
      </c>
      <c r="BD16" s="647">
        <f t="shared" si="25"/>
        <v>8.2174211429129451E-2</v>
      </c>
    </row>
    <row r="17" spans="1:56" ht="15">
      <c r="A17" s="642" t="str">
        <f>VLOOKUP(CONCATENATE($C17," - ",$B17),[1]ACHIEV!$B$17:$C$50,2,FALSE)</f>
        <v>Retro5Med</v>
      </c>
      <c r="B17" s="642" t="str">
        <f>'SC-Retro'!$C$7</f>
        <v>Retro</v>
      </c>
      <c r="C17" s="642" t="str">
        <f>'SC-Retro'!$C$8</f>
        <v>Dairy</v>
      </c>
      <c r="D17" s="642" t="s">
        <v>804</v>
      </c>
      <c r="E17" s="642" t="str">
        <f>INDEX([1]MLIST!A$10:B$42,MATCH($I17,[1]MLIST!$B$10:$B$42,0),1)</f>
        <v>Motors/Drives</v>
      </c>
      <c r="F17" s="643">
        <f t="shared" si="1"/>
        <v>2.5652026670245219E-3</v>
      </c>
      <c r="G17" s="644">
        <f>'SC-Retro'!A114</f>
        <v>7.4915370557043142</v>
      </c>
      <c r="H17" s="644">
        <f>'SC-Retro'!B114</f>
        <v>-5.4739757676741085</v>
      </c>
      <c r="I17" s="637" t="str">
        <f>'SC-Retro'!C114</f>
        <v>VSD - Vacuum Pump</v>
      </c>
      <c r="J17" s="648" t="str">
        <f>'SC-Retro'!D114</f>
        <v>Oregon FreeStall</v>
      </c>
      <c r="K17" s="646">
        <f ca="1">'SC-Retro'!E114</f>
        <v>2.077159588021702E-4</v>
      </c>
      <c r="L17" s="646">
        <f ca="1">'SC-Retro'!F114</f>
        <v>2.5860603845258577E-4</v>
      </c>
      <c r="M17" s="646">
        <f ca="1">'SC-Retro'!G114</f>
        <v>3.2074102545630464E-4</v>
      </c>
      <c r="N17" s="646">
        <f ca="1">'SC-Retro'!H114</f>
        <v>3.7705165013009808E-4</v>
      </c>
      <c r="O17" s="646">
        <f ca="1">'SC-Retro'!I114</f>
        <v>4.3548899430555915E-4</v>
      </c>
      <c r="P17" s="646">
        <f ca="1">'SC-Retro'!J114</f>
        <v>5.1567042292148817E-4</v>
      </c>
      <c r="Q17" s="646">
        <f ca="1">'SC-Retro'!K114</f>
        <v>5.7380687725541084E-4</v>
      </c>
      <c r="R17" s="646">
        <f ca="1">'SC-Retro'!L114</f>
        <v>5.9515822823806564E-4</v>
      </c>
      <c r="S17" s="646">
        <f ca="1">'SC-Retro'!M114</f>
        <v>5.6979683242392983E-4</v>
      </c>
      <c r="T17" s="646">
        <f ca="1">'SC-Retro'!N114</f>
        <v>4.978429300828139E-4</v>
      </c>
      <c r="U17" s="646">
        <f ca="1">'SC-Retro'!O114</f>
        <v>3.9189406096388146E-4</v>
      </c>
      <c r="V17" s="646">
        <f ca="1">'SC-Retro'!P114</f>
        <v>2.7332314067016688E-4</v>
      </c>
      <c r="W17" s="646">
        <f ca="1">'SC-Retro'!Q114</f>
        <v>1.6617317740895264E-4</v>
      </c>
      <c r="X17" s="646">
        <f ca="1">'SC-Retro'!R114</f>
        <v>8.640317839447357E-5</v>
      </c>
      <c r="Y17" s="646">
        <f ca="1">'SC-Retro'!S114</f>
        <v>3.7709261383449994E-5</v>
      </c>
      <c r="Z17" s="646">
        <f ca="1">'SC-Retro'!T114</f>
        <v>1.3431556126597605E-5</v>
      </c>
      <c r="AA17" s="646">
        <f ca="1">'SC-Retro'!U114</f>
        <v>3.8237602733586379E-6</v>
      </c>
      <c r="AB17" s="646">
        <f ca="1">'SC-Retro'!V114</f>
        <v>8.470240646550317E-7</v>
      </c>
      <c r="AC17" s="646">
        <f ca="1">'SC-Retro'!W114</f>
        <v>1.4118040122437196E-7</v>
      </c>
      <c r="AD17" s="646">
        <f ca="1">'SC-Retro'!X114</f>
        <v>1.7205843213832341E-8</v>
      </c>
      <c r="AE17" s="646">
        <f ca="1">'SC-Retro'!Y114</f>
        <v>6.4047042241538238E-3</v>
      </c>
      <c r="AF17" s="647">
        <f t="shared" si="2"/>
        <v>0.4240242897034478</v>
      </c>
      <c r="AG17" s="647">
        <f t="shared" si="3"/>
        <v>0.38738688236857016</v>
      </c>
      <c r="AH17" s="647">
        <f t="shared" si="4"/>
        <v>0.45108597618047253</v>
      </c>
      <c r="AI17" s="647">
        <f t="shared" si="5"/>
        <v>0.41557096814360467</v>
      </c>
      <c r="AJ17" s="647">
        <f t="shared" si="6"/>
        <v>0.43215917643761542</v>
      </c>
      <c r="AK17" s="647">
        <f t="shared" si="7"/>
        <v>0.43244556992374283</v>
      </c>
      <c r="AL17" s="647">
        <f t="shared" si="8"/>
        <v>0.41782737812710086</v>
      </c>
      <c r="AM17" s="647">
        <f t="shared" si="9"/>
        <v>0.44987294339073336</v>
      </c>
      <c r="AN17" s="647">
        <f t="shared" si="10"/>
        <v>0.39895841579518093</v>
      </c>
      <c r="AO17" s="647">
        <f t="shared" si="11"/>
        <v>0.44827142794291264</v>
      </c>
      <c r="AP17" s="647">
        <f t="shared" si="12"/>
        <v>0.40197776478439018</v>
      </c>
      <c r="AQ17" s="647">
        <f t="shared" si="13"/>
        <v>0.42259373782325393</v>
      </c>
      <c r="AR17" s="647"/>
      <c r="AS17" s="647">
        <f t="shared" si="14"/>
        <v>0.22039736352469122</v>
      </c>
      <c r="AT17" s="647">
        <f t="shared" si="15"/>
        <v>0.19136639762298374</v>
      </c>
      <c r="AU17" s="647">
        <f t="shared" si="16"/>
        <v>0.18545687594011875</v>
      </c>
      <c r="AV17" s="647">
        <f t="shared" si="17"/>
        <v>0.19696784682345242</v>
      </c>
      <c r="AW17" s="647">
        <f t="shared" si="18"/>
        <v>0.20073868424726632</v>
      </c>
      <c r="AX17" s="647">
        <f t="shared" si="19"/>
        <v>0.18033858605437719</v>
      </c>
      <c r="AY17" s="647">
        <f t="shared" si="20"/>
        <v>0.21749987859729789</v>
      </c>
      <c r="AZ17" s="647">
        <f t="shared" si="21"/>
        <v>0.18464032089098953</v>
      </c>
      <c r="BA17" s="647">
        <f t="shared" si="22"/>
        <v>0.21280579446982198</v>
      </c>
      <c r="BB17" s="647">
        <f t="shared" si="23"/>
        <v>0.18437519667141183</v>
      </c>
      <c r="BC17" s="647">
        <f t="shared" si="24"/>
        <v>0.21521244355554311</v>
      </c>
      <c r="BD17" s="647">
        <f t="shared" si="25"/>
        <v>0.21956313668533214</v>
      </c>
    </row>
    <row r="18" spans="1:56" ht="15">
      <c r="A18" s="642" t="str">
        <f>VLOOKUP(CONCATENATE($C18," - ",$B18),[1]ACHIEV!$B$17:$C$50,2,FALSE)</f>
        <v>Retro5Med</v>
      </c>
      <c r="B18" s="642" t="str">
        <f>'SC-Retro'!$C$7</f>
        <v>Retro</v>
      </c>
      <c r="C18" s="642" t="str">
        <f>'SC-Retro'!$C$8</f>
        <v>Dairy</v>
      </c>
      <c r="D18" s="642" t="s">
        <v>804</v>
      </c>
      <c r="E18" s="642" t="str">
        <f>INDEX([1]MLIST!A$10:B$42,MATCH($I18,[1]MLIST!$B$10:$B$42,0),1)</f>
        <v>Refrigeration</v>
      </c>
      <c r="F18" s="643">
        <f t="shared" si="1"/>
        <v>1.4192173013927816E-3</v>
      </c>
      <c r="G18" s="644">
        <f>'SC-Retro'!A115</f>
        <v>4.1447481480335853</v>
      </c>
      <c r="H18" s="644">
        <f>'SC-Retro'!B115</f>
        <v>-5.4748497277739405</v>
      </c>
      <c r="I18" s="637" t="str">
        <f>'SC-Retro'!C115</f>
        <v>Plate Milk Pre-cooler</v>
      </c>
      <c r="J18" s="648" t="str">
        <f>'SC-Retro'!D115</f>
        <v>Oregon FreeStall</v>
      </c>
      <c r="K18" s="646">
        <f ca="1">'SC-Retro'!E115</f>
        <v>2.1834873476636804E-3</v>
      </c>
      <c r="L18" s="646">
        <f ca="1">'SC-Retro'!F115</f>
        <v>2.7184382762252585E-3</v>
      </c>
      <c r="M18" s="646">
        <f ca="1">'SC-Retro'!G115</f>
        <v>3.3715944359745493E-3</v>
      </c>
      <c r="N18" s="646">
        <f ca="1">'SC-Retro'!H115</f>
        <v>3.9635255385402791E-3</v>
      </c>
      <c r="O18" s="646">
        <f ca="1">'SC-Retro'!I115</f>
        <v>4.5778124829522438E-3</v>
      </c>
      <c r="P18" s="646">
        <f ca="1">'SC-Retro'!J115</f>
        <v>5.4206708550777203E-3</v>
      </c>
      <c r="Q18" s="646">
        <f ca="1">'SC-Retro'!K115</f>
        <v>6.0317948785190111E-3</v>
      </c>
      <c r="R18" s="646">
        <f ca="1">'SC-Retro'!L115</f>
        <v>6.2562379352537846E-3</v>
      </c>
      <c r="S18" s="646">
        <f ca="1">'SC-Retro'!M115</f>
        <v>5.9896417276316402E-3</v>
      </c>
      <c r="T18" s="646">
        <f ca="1">'SC-Retro'!N115</f>
        <v>5.2332702081640996E-3</v>
      </c>
      <c r="U18" s="646">
        <f ca="1">'SC-Retro'!O115</f>
        <v>4.1195473312387295E-3</v>
      </c>
      <c r="V18" s="646">
        <f ca="1">'SC-Retro'!P115</f>
        <v>2.8731428385115228E-3</v>
      </c>
      <c r="W18" s="646">
        <f ca="1">'SC-Retro'!Q115</f>
        <v>1.7467941918660576E-3</v>
      </c>
      <c r="X18" s="646">
        <f ca="1">'SC-Retro'!R115</f>
        <v>9.0826072252802692E-4</v>
      </c>
      <c r="Y18" s="646">
        <f ca="1">'SC-Retro'!S115</f>
        <v>3.9639561445023371E-4</v>
      </c>
      <c r="Z18" s="646">
        <f ca="1">'SC-Retro'!T115</f>
        <v>1.4119104295588699E-4</v>
      </c>
      <c r="AA18" s="646">
        <f ca="1">'SC-Retro'!U115</f>
        <v>4.0194948070067936E-5</v>
      </c>
      <c r="AB18" s="646">
        <f ca="1">'SC-Retro'!V115</f>
        <v>8.9038239478862945E-6</v>
      </c>
      <c r="AC18" s="646">
        <f ca="1">'SC-Retro'!W115</f>
        <v>1.4840728733081699E-6</v>
      </c>
      <c r="AD18" s="646">
        <f ca="1">'SC-Retro'!X115</f>
        <v>1.8086593432654147E-7</v>
      </c>
      <c r="AE18" s="646">
        <f ca="1">'SC-Retro'!Y115</f>
        <v>6.7325547442827954E-2</v>
      </c>
      <c r="AF18" s="647">
        <f t="shared" si="2"/>
        <v>0.23459456669595202</v>
      </c>
      <c r="AG18" s="647">
        <f t="shared" si="3"/>
        <v>0.21432465078005061</v>
      </c>
      <c r="AH18" s="647">
        <f t="shared" si="4"/>
        <v>0.24956664439833867</v>
      </c>
      <c r="AI18" s="647">
        <f t="shared" si="5"/>
        <v>0.22991770417503399</v>
      </c>
      <c r="AJ18" s="647">
        <f t="shared" si="6"/>
        <v>0.23909525280017827</v>
      </c>
      <c r="AK18" s="647">
        <f t="shared" si="7"/>
        <v>0.23925370210936664</v>
      </c>
      <c r="AL18" s="647">
        <f t="shared" si="8"/>
        <v>0.23116607964601685</v>
      </c>
      <c r="AM18" s="647">
        <f t="shared" si="9"/>
        <v>0.24889552505775592</v>
      </c>
      <c r="AN18" s="647">
        <f t="shared" si="10"/>
        <v>0.22072668702217724</v>
      </c>
      <c r="AO18" s="647">
        <f t="shared" si="11"/>
        <v>0.24800947482039537</v>
      </c>
      <c r="AP18" s="647">
        <f t="shared" si="12"/>
        <v>0.22239716412697422</v>
      </c>
      <c r="AQ18" s="647">
        <f t="shared" si="13"/>
        <v>0.23380310331373666</v>
      </c>
      <c r="AR18" s="647"/>
      <c r="AS18" s="647">
        <f t="shared" si="14"/>
        <v>0.12193646744427233</v>
      </c>
      <c r="AT18" s="647">
        <f t="shared" si="15"/>
        <v>0.10587487137099283</v>
      </c>
      <c r="AU18" s="647">
        <f t="shared" si="16"/>
        <v>0.10260538489996633</v>
      </c>
      <c r="AV18" s="647">
        <f t="shared" si="17"/>
        <v>0.10897391446819928</v>
      </c>
      <c r="AW18" s="647">
        <f t="shared" si="18"/>
        <v>0.11106015809386323</v>
      </c>
      <c r="AX18" s="647">
        <f t="shared" si="19"/>
        <v>9.9773653258343697E-2</v>
      </c>
      <c r="AY18" s="647">
        <f t="shared" si="20"/>
        <v>0.12033341253077838</v>
      </c>
      <c r="AZ18" s="647">
        <f t="shared" si="21"/>
        <v>0.10215361979455732</v>
      </c>
      <c r="BA18" s="647">
        <f t="shared" si="22"/>
        <v>0.1177363758546726</v>
      </c>
      <c r="BB18" s="647">
        <f t="shared" si="23"/>
        <v>0.10200693786401052</v>
      </c>
      <c r="BC18" s="647">
        <f t="shared" si="24"/>
        <v>0.11906787221741355</v>
      </c>
      <c r="BD18" s="647">
        <f t="shared" si="25"/>
        <v>0.12147492529053758</v>
      </c>
    </row>
    <row r="19" spans="1:56" ht="15">
      <c r="A19" s="642" t="str">
        <f>VLOOKUP(CONCATENATE($C19," - ",$B19),[1]ACHIEV!$B$17:$C$50,2,FALSE)</f>
        <v>Retro5Med</v>
      </c>
      <c r="B19" s="642" t="str">
        <f>'SC-Retro'!$C$7</f>
        <v>Retro</v>
      </c>
      <c r="C19" s="642" t="str">
        <f>'SC-Retro'!$C$8</f>
        <v>Dairy</v>
      </c>
      <c r="D19" s="642" t="s">
        <v>804</v>
      </c>
      <c r="E19" s="642" t="str">
        <f>INDEX([1]MLIST!A$10:B$42,MATCH($I19,[1]MLIST!$B$10:$B$42,0),1)</f>
        <v>Lighting</v>
      </c>
      <c r="F19" s="643">
        <f t="shared" si="1"/>
        <v>9.9436746959285252E-5</v>
      </c>
      <c r="G19" s="644">
        <f>'SC-Retro'!A116</f>
        <v>0.56446323784331998</v>
      </c>
      <c r="H19" s="644">
        <f>'SC-Retro'!B116</f>
        <v>4.7413092438539524</v>
      </c>
      <c r="I19" s="637" t="str">
        <f>'SC-Retro'!C116</f>
        <v>Energy Efficient Lighting</v>
      </c>
      <c r="J19" s="648" t="str">
        <f>'SC-Retro'!D116</f>
        <v>Oregon FreeStall</v>
      </c>
      <c r="K19" s="646">
        <f ca="1">'SC-Retro'!E116</f>
        <v>1.4145910507022863E-3</v>
      </c>
      <c r="L19" s="646">
        <f ca="1">'SC-Retro'!F116</f>
        <v>1.761163609008058E-3</v>
      </c>
      <c r="M19" s="646">
        <f ca="1">'SC-Retro'!G116</f>
        <v>2.1843164426075018E-3</v>
      </c>
      <c r="N19" s="646">
        <f ca="1">'SC-Retro'!H116</f>
        <v>2.5678040965285407E-3</v>
      </c>
      <c r="O19" s="646">
        <f ca="1">'SC-Retro'!I116</f>
        <v>2.9657751747938698E-3</v>
      </c>
      <c r="P19" s="646">
        <f ca="1">'SC-Retro'!J116</f>
        <v>3.5118282176447718E-3</v>
      </c>
      <c r="Q19" s="646">
        <f ca="1">'SC-Retro'!K116</f>
        <v>3.9077501703660552E-3</v>
      </c>
      <c r="R19" s="646">
        <f ca="1">'SC-Retro'!L116</f>
        <v>4.0531575343194098E-3</v>
      </c>
      <c r="S19" s="646">
        <f ca="1">'SC-Retro'!M116</f>
        <v>3.8804408891522308E-3</v>
      </c>
      <c r="T19" s="646">
        <f ca="1">'SC-Retro'!N116</f>
        <v>3.3904190973659295E-3</v>
      </c>
      <c r="U19" s="646">
        <f ca="1">'SC-Retro'!O116</f>
        <v>2.6688841563245877E-3</v>
      </c>
      <c r="V19" s="646">
        <f ca="1">'SC-Retro'!P116</f>
        <v>1.8613902897566894E-3</v>
      </c>
      <c r="W19" s="646">
        <f ca="1">'SC-Retro'!Q116</f>
        <v>1.1316756352522095E-3</v>
      </c>
      <c r="X19" s="646">
        <f ca="1">'SC-Retro'!R116</f>
        <v>5.884245178554787E-4</v>
      </c>
      <c r="Y19" s="646">
        <f ca="1">'SC-Retro'!S116</f>
        <v>2.5680830683031921E-4</v>
      </c>
      <c r="Z19" s="646">
        <f ca="1">'SC-Retro'!T116</f>
        <v>9.1471831068051405E-5</v>
      </c>
      <c r="AA19" s="646">
        <f ca="1">'SC-Retro'!U116</f>
        <v>2.604064268299997E-5</v>
      </c>
      <c r="AB19" s="646">
        <f ca="1">'SC-Retro'!V116</f>
        <v>5.768418895207026E-6</v>
      </c>
      <c r="AC19" s="646">
        <f ca="1">'SC-Retro'!W116</f>
        <v>9.6146937027964188E-7</v>
      </c>
      <c r="AD19" s="646">
        <f ca="1">'SC-Retro'!X116</f>
        <v>1.1717555054715225E-7</v>
      </c>
      <c r="AE19" s="646">
        <f ca="1">'SC-Retro'!Y116</f>
        <v>4.3617434741795441E-2</v>
      </c>
      <c r="AF19" s="647">
        <f t="shared" si="2"/>
        <v>3.3986869962608982E-2</v>
      </c>
      <c r="AG19" s="647">
        <f t="shared" si="3"/>
        <v>3.0758676401567858E-2</v>
      </c>
      <c r="AH19" s="647">
        <f t="shared" si="4"/>
        <v>3.581228819474646E-2</v>
      </c>
      <c r="AI19" s="647">
        <f t="shared" si="5"/>
        <v>3.3302752496035835E-2</v>
      </c>
      <c r="AJ19" s="647">
        <f t="shared" si="6"/>
        <v>3.406342647694726E-2</v>
      </c>
      <c r="AK19" s="647">
        <f t="shared" si="7"/>
        <v>3.3258921334712525E-2</v>
      </c>
      <c r="AL19" s="647">
        <f t="shared" si="8"/>
        <v>3.1633726806545373E-2</v>
      </c>
      <c r="AM19" s="647">
        <f t="shared" si="9"/>
        <v>3.3961303817532908E-2</v>
      </c>
      <c r="AN19" s="647">
        <f t="shared" si="10"/>
        <v>3.1263530387468458E-2</v>
      </c>
      <c r="AO19" s="647">
        <f t="shared" si="11"/>
        <v>3.5473706871937703E-2</v>
      </c>
      <c r="AP19" s="647">
        <f t="shared" si="12"/>
        <v>3.1671299890828036E-2</v>
      </c>
      <c r="AQ19" s="647">
        <f t="shared" si="13"/>
        <v>3.3547198730559835E-2</v>
      </c>
      <c r="AR19" s="647"/>
      <c r="AS19" s="647">
        <f t="shared" si="14"/>
        <v>1.5280570700668168E-2</v>
      </c>
      <c r="AT19" s="647">
        <f t="shared" si="15"/>
        <v>1.3261972106745276E-2</v>
      </c>
      <c r="AU19" s="647">
        <f t="shared" si="16"/>
        <v>1.3006997071326236E-2</v>
      </c>
      <c r="AV19" s="647">
        <f t="shared" si="17"/>
        <v>1.3508436852216569E-2</v>
      </c>
      <c r="AW19" s="647">
        <f t="shared" si="18"/>
        <v>1.3632696113079297E-2</v>
      </c>
      <c r="AX19" s="647">
        <f t="shared" si="19"/>
        <v>1.2439188145427604E-2</v>
      </c>
      <c r="AY19" s="647">
        <f t="shared" si="20"/>
        <v>1.4603464606939412E-2</v>
      </c>
      <c r="AZ19" s="647">
        <f t="shared" si="21"/>
        <v>1.2559544929617654E-2</v>
      </c>
      <c r="BA19" s="647">
        <f t="shared" si="22"/>
        <v>1.4643675940229039E-2</v>
      </c>
      <c r="BB19" s="647">
        <f t="shared" si="23"/>
        <v>1.2710254502815961E-2</v>
      </c>
      <c r="BC19" s="647">
        <f t="shared" si="24"/>
        <v>1.4849388231467881E-2</v>
      </c>
      <c r="BD19" s="647">
        <f t="shared" si="25"/>
        <v>1.5233347271295581E-2</v>
      </c>
    </row>
    <row r="20" spans="1:56" ht="15">
      <c r="A20" s="642" t="str">
        <f>VLOOKUP(CONCATENATE($C20," - ",$B20),[1]ACHIEV!$B$17:$C$50,2,FALSE)</f>
        <v>Retro5Med</v>
      </c>
      <c r="B20" s="642" t="str">
        <f>'SC-Retro'!$C$7</f>
        <v>Retro</v>
      </c>
      <c r="C20" s="642" t="str">
        <f>'SC-Retro'!$C$8</f>
        <v>Dairy</v>
      </c>
      <c r="D20" s="642" t="s">
        <v>804</v>
      </c>
      <c r="E20" s="642" t="str">
        <f>INDEX([1]MLIST!A$10:B$42,MATCH($I20,[1]MLIST!$B$10:$B$42,0),1)</f>
        <v>Motors/Drives</v>
      </c>
      <c r="F20" s="643">
        <f t="shared" si="1"/>
        <v>1.7982490631536358E-3</v>
      </c>
      <c r="G20" s="644">
        <f>'SC-Retro'!A117</f>
        <v>5.2516901160200797</v>
      </c>
      <c r="H20" s="644">
        <f>'SC-Retro'!B117</f>
        <v>-6.6853843794400083</v>
      </c>
      <c r="I20" s="637" t="str">
        <f>'SC-Retro'!C117</f>
        <v>VSD - Vacuum Pump</v>
      </c>
      <c r="J20" s="648" t="str">
        <f>'SC-Retro'!D117</f>
        <v>Oregon TieStall</v>
      </c>
      <c r="K20" s="646">
        <f>'SC-Retro'!E117</f>
        <v>3.0249966268152339E-4</v>
      </c>
      <c r="L20" s="646">
        <f>'SC-Retro'!F117</f>
        <v>3.7142134256587419E-4</v>
      </c>
      <c r="M20" s="646">
        <f>'SC-Retro'!G117</f>
        <v>4.5451102965942292E-4</v>
      </c>
      <c r="N20" s="646">
        <f>'SC-Retro'!H117</f>
        <v>5.2761569072358743E-4</v>
      </c>
      <c r="O20" s="646">
        <f>'SC-Retro'!I117</f>
        <v>6.0181250879518704E-4</v>
      </c>
      <c r="P20" s="646">
        <f>'SC-Retro'!J117</f>
        <v>7.0359116237775441E-4</v>
      </c>
      <c r="Q20" s="646">
        <f>'SC-Retro'!K117</f>
        <v>7.7185043155295833E-4</v>
      </c>
      <c r="R20" s="646">
        <f>'SC-Retro'!L117</f>
        <v>7.8849973699014753E-4</v>
      </c>
      <c r="S20" s="646">
        <f>'SC-Retro'!M117</f>
        <v>7.4306637354901596E-4</v>
      </c>
      <c r="T20" s="646">
        <f>'SC-Retro'!N117</f>
        <v>6.3872848796912482E-4</v>
      </c>
      <c r="U20" s="646">
        <f>'SC-Retro'!O117</f>
        <v>4.9427507127472697E-4</v>
      </c>
      <c r="V20" s="646">
        <f>'SC-Retro'!P117</f>
        <v>3.3921018040818259E-4</v>
      </c>
      <c r="W20" s="646">
        <f>'SC-Retro'!Q117</f>
        <v>2.0298595902005037E-4</v>
      </c>
      <c r="X20" s="646">
        <f>'SC-Retro'!R117</f>
        <v>1.0393300944703962E-4</v>
      </c>
      <c r="Y20" s="646">
        <f>'SC-Retro'!S117</f>
        <v>4.4590802517465538E-5</v>
      </c>
      <c r="Z20" s="646">
        <f>'SC-Retro'!T117</f>
        <v>1.566566765181405E-5</v>
      </c>
      <c r="AA20" s="646">
        <f>'SC-Retro'!U117</f>
        <v>4.3947574468467406E-6</v>
      </c>
      <c r="AB20" s="646">
        <f>'SC-Retro'!V117</f>
        <v>9.5785757645112278E-7</v>
      </c>
      <c r="AC20" s="646">
        <f>'SC-Retro'!W117</f>
        <v>1.5744500067077166E-7</v>
      </c>
      <c r="AD20" s="646">
        <f>'SC-Retro'!X117</f>
        <v>1.8898760523579102E-8</v>
      </c>
      <c r="AE20" s="646">
        <f>'SC-Retro'!Y117</f>
        <v>7.0348758763144987E-3</v>
      </c>
      <c r="AF20" s="647">
        <f t="shared" si="2"/>
        <v>0.29724796855839297</v>
      </c>
      <c r="AG20" s="647">
        <f t="shared" si="3"/>
        <v>0.27156454624512122</v>
      </c>
      <c r="AH20" s="647">
        <f t="shared" si="4"/>
        <v>0.31621865379127323</v>
      </c>
      <c r="AI20" s="647">
        <f t="shared" si="5"/>
        <v>0.29132205176010867</v>
      </c>
      <c r="AJ20" s="647">
        <f t="shared" si="6"/>
        <v>0.3029506573309515</v>
      </c>
      <c r="AK20" s="647">
        <f t="shared" si="7"/>
        <v>0.30315142385312238</v>
      </c>
      <c r="AL20" s="647">
        <f t="shared" si="8"/>
        <v>0.29290383209702803</v>
      </c>
      <c r="AM20" s="647">
        <f t="shared" si="9"/>
        <v>0.31536829794775101</v>
      </c>
      <c r="AN20" s="647">
        <f t="shared" si="10"/>
        <v>0.27967638060859878</v>
      </c>
      <c r="AO20" s="647">
        <f t="shared" si="11"/>
        <v>0.3142456094012705</v>
      </c>
      <c r="AP20" s="647">
        <f t="shared" si="12"/>
        <v>0.28179299367819194</v>
      </c>
      <c r="AQ20" s="647">
        <f t="shared" si="13"/>
        <v>0.29624512827157257</v>
      </c>
      <c r="AR20" s="647"/>
      <c r="AS20" s="647">
        <f t="shared" si="14"/>
        <v>0.1545021598389047</v>
      </c>
      <c r="AT20" s="647">
        <f t="shared" si="15"/>
        <v>0.13415097749129504</v>
      </c>
      <c r="AU20" s="647">
        <f t="shared" si="16"/>
        <v>0.13000830604996816</v>
      </c>
      <c r="AV20" s="647">
        <f t="shared" si="17"/>
        <v>0.13807768507917126</v>
      </c>
      <c r="AW20" s="647">
        <f t="shared" si="18"/>
        <v>0.14072110384364006</v>
      </c>
      <c r="AX20" s="647">
        <f t="shared" si="19"/>
        <v>0.12642030105126001</v>
      </c>
      <c r="AY20" s="647">
        <f t="shared" si="20"/>
        <v>0.15247097547161625</v>
      </c>
      <c r="AZ20" s="647">
        <f t="shared" si="21"/>
        <v>0.12943588759313987</v>
      </c>
      <c r="BA20" s="647">
        <f t="shared" si="22"/>
        <v>0.14918034565389932</v>
      </c>
      <c r="BB20" s="647">
        <f t="shared" si="23"/>
        <v>0.12925003117500822</v>
      </c>
      <c r="BC20" s="647">
        <f t="shared" si="24"/>
        <v>0.15086744606096286</v>
      </c>
      <c r="BD20" s="647">
        <f t="shared" si="25"/>
        <v>0.15391735316782978</v>
      </c>
    </row>
    <row r="21" spans="1:56" ht="15">
      <c r="A21" s="642" t="str">
        <f>VLOOKUP(CONCATENATE($C21," - ",$B21),[1]ACHIEV!$B$17:$C$50,2,FALSE)</f>
        <v>Retro5Med</v>
      </c>
      <c r="B21" s="642" t="str">
        <f>'SC-Retro'!$C$7</f>
        <v>Retro</v>
      </c>
      <c r="C21" s="642" t="str">
        <f>'SC-Retro'!$C$8</f>
        <v>Dairy</v>
      </c>
      <c r="D21" s="642" t="s">
        <v>804</v>
      </c>
      <c r="E21" s="642" t="str">
        <f>INDEX([1]MLIST!A$10:B$42,MATCH($I21,[1]MLIST!$B$10:$B$42,0),1)</f>
        <v>Refrigeration</v>
      </c>
      <c r="F21" s="643">
        <f t="shared" si="1"/>
        <v>1.9029775194882078E-3</v>
      </c>
      <c r="G21" s="644">
        <f>'SC-Retro'!A118</f>
        <v>5.5575439658943351</v>
      </c>
      <c r="H21" s="644">
        <f>'SC-Retro'!B118</f>
        <v>-6.6357268278525448</v>
      </c>
      <c r="I21" s="637" t="str">
        <f>'SC-Retro'!C118</f>
        <v>Heat Recovery Refrigeration</v>
      </c>
      <c r="J21" s="648" t="str">
        <f>'SC-Retro'!D118</f>
        <v>Oregon TieStall</v>
      </c>
      <c r="K21" s="646">
        <f>'SC-Retro'!E118</f>
        <v>1.6791154491759383E-3</v>
      </c>
      <c r="L21" s="646">
        <f>'SC-Retro'!F118</f>
        <v>2.0616859831431504E-3</v>
      </c>
      <c r="M21" s="646">
        <f>'SC-Retro'!G118</f>
        <v>2.5229003065880603E-3</v>
      </c>
      <c r="N21" s="646">
        <f>'SC-Retro'!H118</f>
        <v>2.9286897369347762E-3</v>
      </c>
      <c r="O21" s="646">
        <f>'SC-Retro'!I118</f>
        <v>3.3405415135593485E-3</v>
      </c>
      <c r="P21" s="646">
        <f>'SC-Retro'!J118</f>
        <v>3.9054945720582591E-3</v>
      </c>
      <c r="Q21" s="646">
        <f>'SC-Retro'!K118</f>
        <v>4.2843881959569808E-3</v>
      </c>
      <c r="R21" s="646">
        <f>'SC-Retro'!L118</f>
        <v>4.3768051782762845E-3</v>
      </c>
      <c r="S21" s="646">
        <f>'SC-Retro'!M118</f>
        <v>4.1246136161906541E-3</v>
      </c>
      <c r="T21" s="646">
        <f>'SC-Retro'!N118</f>
        <v>3.5454547700004861E-3</v>
      </c>
      <c r="U21" s="646">
        <f>'SC-Retro'!O118</f>
        <v>2.7436225910562801E-3</v>
      </c>
      <c r="V21" s="646">
        <f>'SC-Retro'!P118</f>
        <v>1.8828882299971098E-3</v>
      </c>
      <c r="W21" s="646">
        <f>'SC-Retro'!Q118</f>
        <v>1.126734677106728E-3</v>
      </c>
      <c r="X21" s="646">
        <f>'SC-Retro'!R118</f>
        <v>5.7691145932154558E-4</v>
      </c>
      <c r="Y21" s="646">
        <f>'SC-Retro'!S118</f>
        <v>2.4751467401488422E-4</v>
      </c>
      <c r="Z21" s="646">
        <f>'SC-Retro'!T118</f>
        <v>8.6957004654615033E-5</v>
      </c>
      <c r="AA21" s="646">
        <f>'SC-Retro'!U118</f>
        <v>2.439442430767408E-5</v>
      </c>
      <c r="AB21" s="646">
        <f>'SC-Retro'!V118</f>
        <v>5.3168768535871171E-6</v>
      </c>
      <c r="AC21" s="646">
        <f>'SC-Retro'!W118</f>
        <v>8.739458770905801E-7</v>
      </c>
      <c r="AD21" s="646">
        <f>'SC-Retro'!X118</f>
        <v>1.0490326000405247E-7</v>
      </c>
      <c r="AE21" s="646">
        <f>'SC-Retro'!Y118</f>
        <v>3.9049196492463689E-2</v>
      </c>
      <c r="AF21" s="647">
        <f t="shared" si="2"/>
        <v>0.31455943087669597</v>
      </c>
      <c r="AG21" s="647">
        <f t="shared" si="3"/>
        <v>0.28738022845855893</v>
      </c>
      <c r="AH21" s="647">
        <f t="shared" si="4"/>
        <v>0.33463495226423234</v>
      </c>
      <c r="AI21" s="647">
        <f t="shared" si="5"/>
        <v>0.30828839385487428</v>
      </c>
      <c r="AJ21" s="647">
        <f t="shared" si="6"/>
        <v>0.32059423926735631</v>
      </c>
      <c r="AK21" s="647">
        <f t="shared" si="7"/>
        <v>0.32080669825659497</v>
      </c>
      <c r="AL21" s="647">
        <f t="shared" si="8"/>
        <v>0.30996229569839712</v>
      </c>
      <c r="AM21" s="647">
        <f t="shared" si="9"/>
        <v>0.33373507243838091</v>
      </c>
      <c r="AN21" s="647">
        <f t="shared" si="10"/>
        <v>0.29596448897719813</v>
      </c>
      <c r="AO21" s="647">
        <f t="shared" si="11"/>
        <v>0.33254699949058103</v>
      </c>
      <c r="AP21" s="647">
        <f t="shared" si="12"/>
        <v>0.29820437174506514</v>
      </c>
      <c r="AQ21" s="647">
        <f t="shared" si="13"/>
        <v>0.3134981860466225</v>
      </c>
      <c r="AR21" s="647"/>
      <c r="AS21" s="647">
        <f t="shared" si="14"/>
        <v>0.16350023081351658</v>
      </c>
      <c r="AT21" s="647">
        <f t="shared" si="15"/>
        <v>0.14196381336387345</v>
      </c>
      <c r="AU21" s="647">
        <f t="shared" si="16"/>
        <v>0.13757987635258673</v>
      </c>
      <c r="AV21" s="647">
        <f t="shared" si="17"/>
        <v>0.14611920897532873</v>
      </c>
      <c r="AW21" s="647">
        <f t="shared" si="18"/>
        <v>0.14891657814206447</v>
      </c>
      <c r="AX21" s="647">
        <f t="shared" si="19"/>
        <v>0.13378290907354995</v>
      </c>
      <c r="AY21" s="647">
        <f t="shared" si="20"/>
        <v>0.1613507520410338</v>
      </c>
      <c r="AZ21" s="647">
        <f t="shared" si="21"/>
        <v>0.13697412074430965</v>
      </c>
      <c r="BA21" s="647">
        <f t="shared" si="22"/>
        <v>0.15786847881404761</v>
      </c>
      <c r="BB21" s="647">
        <f t="shared" si="23"/>
        <v>0.13677744021055926</v>
      </c>
      <c r="BC21" s="647">
        <f t="shared" si="24"/>
        <v>0.15965383447670037</v>
      </c>
      <c r="BD21" s="647">
        <f t="shared" si="25"/>
        <v>0.16288136551220478</v>
      </c>
    </row>
    <row r="22" spans="1:56" ht="15">
      <c r="A22" s="642" t="str">
        <f>VLOOKUP(CONCATENATE($C22," - ",$B22),[1]ACHIEV!$B$17:$C$50,2,FALSE)</f>
        <v>Retro5Med</v>
      </c>
      <c r="B22" s="642" t="str">
        <f>'SC-Retro'!$C$7</f>
        <v>Retro</v>
      </c>
      <c r="C22" s="642" t="str">
        <f>'SC-Retro'!$C$8</f>
        <v>Dairy</v>
      </c>
      <c r="D22" s="642" t="s">
        <v>804</v>
      </c>
      <c r="E22" s="642" t="str">
        <f>INDEX([1]MLIST!A$10:B$42,MATCH($I22,[1]MLIST!$B$10:$B$42,0),1)</f>
        <v>Refrigeration</v>
      </c>
      <c r="F22" s="643">
        <f t="shared" si="1"/>
        <v>1.4713856900822407E-3</v>
      </c>
      <c r="G22" s="644">
        <f>'SC-Retro'!A119</f>
        <v>4.297103134260384</v>
      </c>
      <c r="H22" s="644">
        <f>'SC-Retro'!B119</f>
        <v>-7.6191296344260442</v>
      </c>
      <c r="I22" s="637" t="str">
        <f>'SC-Retro'!C119</f>
        <v>Plate Milk Pre-Cooler</v>
      </c>
      <c r="J22" s="648" t="str">
        <f>'SC-Retro'!D119</f>
        <v>Oregon TieStall</v>
      </c>
      <c r="K22" s="646">
        <f>'SC-Retro'!E119</f>
        <v>8.3278199065694764E-4</v>
      </c>
      <c r="L22" s="646">
        <f>'SC-Retro'!F119</f>
        <v>1.0225234709108904E-3</v>
      </c>
      <c r="M22" s="646">
        <f>'SC-Retro'!G119</f>
        <v>1.2512694946500266E-3</v>
      </c>
      <c r="N22" s="646">
        <f>'SC-Retro'!H119</f>
        <v>1.4525267278900254E-3</v>
      </c>
      <c r="O22" s="646">
        <f>'SC-Retro'!I119</f>
        <v>1.6567906708853317E-3</v>
      </c>
      <c r="P22" s="646">
        <f>'SC-Retro'!J119</f>
        <v>1.9369874452735089E-3</v>
      </c>
      <c r="Q22" s="646">
        <f>'SC-Retro'!K119</f>
        <v>2.1249053079270023E-3</v>
      </c>
      <c r="R22" s="646">
        <f>'SC-Retro'!L119</f>
        <v>2.170740868873183E-3</v>
      </c>
      <c r="S22" s="646">
        <f>'SC-Retro'!M119</f>
        <v>2.0456627563445727E-3</v>
      </c>
      <c r="T22" s="646">
        <f>'SC-Retro'!N119</f>
        <v>1.7584204127204131E-3</v>
      </c>
      <c r="U22" s="646">
        <f>'SC-Retro'!O119</f>
        <v>1.3607399563338874E-3</v>
      </c>
      <c r="V22" s="646">
        <f>'SC-Retro'!P119</f>
        <v>9.3384609684288051E-4</v>
      </c>
      <c r="W22" s="646">
        <f>'SC-Retro'!Q119</f>
        <v>5.5882062654099044E-4</v>
      </c>
      <c r="X22" s="646">
        <f>'SC-Retro'!R119</f>
        <v>2.8612771906922089E-4</v>
      </c>
      <c r="Y22" s="646">
        <f>'SC-Retro'!S119</f>
        <v>1.2275854113788387E-4</v>
      </c>
      <c r="Z22" s="646">
        <f>'SC-Retro'!T119</f>
        <v>4.3127604759622462E-5</v>
      </c>
      <c r="AA22" s="646">
        <f>'SC-Retro'!U119</f>
        <v>1.2098773342741375E-5</v>
      </c>
      <c r="AB22" s="646">
        <f>'SC-Retro'!V119</f>
        <v>2.6369832356561102E-6</v>
      </c>
      <c r="AC22" s="646">
        <f>'SC-Retro'!W119</f>
        <v>4.3344630508111399E-7</v>
      </c>
      <c r="AD22" s="646">
        <f>'SC-Retro'!X119</f>
        <v>5.2028313916980946E-8</v>
      </c>
      <c r="AE22" s="646">
        <f>'SC-Retro'!Y119</f>
        <v>1.936702303853367E-2</v>
      </c>
      <c r="AF22" s="647">
        <f t="shared" si="2"/>
        <v>0.2432179258727456</v>
      </c>
      <c r="AG22" s="647">
        <f t="shared" si="3"/>
        <v>0.22220291697413769</v>
      </c>
      <c r="AH22" s="647">
        <f t="shared" si="4"/>
        <v>0.25874035563770953</v>
      </c>
      <c r="AI22" s="647">
        <f t="shared" si="5"/>
        <v>0.23836914860586231</v>
      </c>
      <c r="AJ22" s="647">
        <f t="shared" si="6"/>
        <v>0.24788405073101188</v>
      </c>
      <c r="AK22" s="647">
        <f t="shared" si="7"/>
        <v>0.24804832440912616</v>
      </c>
      <c r="AL22" s="647">
        <f t="shared" si="8"/>
        <v>0.23966341256533577</v>
      </c>
      <c r="AM22" s="647">
        <f t="shared" si="9"/>
        <v>0.25804456691451555</v>
      </c>
      <c r="AN22" s="647">
        <f t="shared" si="10"/>
        <v>0.22884028286927482</v>
      </c>
      <c r="AO22" s="647">
        <f t="shared" si="11"/>
        <v>0.25712594674361794</v>
      </c>
      <c r="AP22" s="647">
        <f t="shared" si="12"/>
        <v>0.23057216431209274</v>
      </c>
      <c r="AQ22" s="647">
        <f t="shared" si="13"/>
        <v>0.24239736943387402</v>
      </c>
      <c r="AR22" s="647"/>
      <c r="AS22" s="647">
        <f t="shared" si="14"/>
        <v>0.12641867677388635</v>
      </c>
      <c r="AT22" s="647">
        <f t="shared" si="15"/>
        <v>0.10976667950827243</v>
      </c>
      <c r="AU22" s="647">
        <f t="shared" si="16"/>
        <v>0.10637701141257996</v>
      </c>
      <c r="AV22" s="647">
        <f t="shared" si="17"/>
        <v>0.11297963897663768</v>
      </c>
      <c r="AW22" s="647">
        <f t="shared" si="18"/>
        <v>0.11514256992020407</v>
      </c>
      <c r="AX22" s="647">
        <f t="shared" si="19"/>
        <v>0.10344118938479911</v>
      </c>
      <c r="AY22" s="647">
        <f t="shared" si="20"/>
        <v>0.12475669586524309</v>
      </c>
      <c r="AZ22" s="647">
        <f t="shared" si="21"/>
        <v>0.10590864007104898</v>
      </c>
      <c r="BA22" s="647">
        <f t="shared" si="22"/>
        <v>0.12206419585267227</v>
      </c>
      <c r="BB22" s="647">
        <f t="shared" si="23"/>
        <v>0.10575656632350632</v>
      </c>
      <c r="BC22" s="647">
        <f t="shared" si="24"/>
        <v>0.1234446361084463</v>
      </c>
      <c r="BD22" s="647">
        <f t="shared" si="25"/>
        <v>0.12594016899378208</v>
      </c>
    </row>
    <row r="23" spans="1:56" ht="15">
      <c r="A23" s="642" t="str">
        <f>VLOOKUP(CONCATENATE($C23," - ",$B23),[1]ACHIEV!$B$17:$C$50,2,FALSE)</f>
        <v>Retro5Med</v>
      </c>
      <c r="B23" s="642" t="str">
        <f>'SC-Retro'!$C$7</f>
        <v>Retro</v>
      </c>
      <c r="C23" s="642" t="str">
        <f>'SC-Retro'!$C$8</f>
        <v>Dairy</v>
      </c>
      <c r="D23" s="642" t="s">
        <v>804</v>
      </c>
      <c r="E23" s="642" t="str">
        <f>INDEX([1]MLIST!A$10:B$42,MATCH($I23,[1]MLIST!$B$10:$B$42,0),1)</f>
        <v>Lighting</v>
      </c>
      <c r="F23" s="643">
        <f t="shared" si="1"/>
        <v>5.3639795134547634E-4</v>
      </c>
      <c r="G23" s="644">
        <f>'SC-Retro'!A120</f>
        <v>3.0449198475183858</v>
      </c>
      <c r="H23" s="644">
        <f>'SC-Retro'!B120</f>
        <v>3.9511787212703759</v>
      </c>
      <c r="I23" s="637" t="str">
        <f>'SC-Retro'!C120</f>
        <v>Energy Efficient Lighting</v>
      </c>
      <c r="J23" s="648" t="str">
        <f>'SC-Retro'!D120</f>
        <v>Oregon TieStall</v>
      </c>
      <c r="K23" s="646">
        <f>'SC-Retro'!E120</f>
        <v>7.8588279399982344E-5</v>
      </c>
      <c r="L23" s="646">
        <f>'SC-Retro'!F120</f>
        <v>9.6493873698677546E-5</v>
      </c>
      <c r="M23" s="646">
        <f>'SC-Retro'!G120</f>
        <v>1.1808026320629058E-4</v>
      </c>
      <c r="N23" s="646">
        <f>'SC-Retro'!H120</f>
        <v>1.3707258034880641E-4</v>
      </c>
      <c r="O23" s="646">
        <f>'SC-Retro'!I120</f>
        <v>1.5634863579135248E-4</v>
      </c>
      <c r="P23" s="646">
        <f>'SC-Retro'!J120</f>
        <v>1.8279034879624235E-4</v>
      </c>
      <c r="Q23" s="646">
        <f>'SC-Retro'!K120</f>
        <v>2.0052385127365576E-4</v>
      </c>
      <c r="R23" s="646">
        <f>'SC-Retro'!L120</f>
        <v>2.0484927846889541E-4</v>
      </c>
      <c r="S23" s="646">
        <f>'SC-Retro'!M120</f>
        <v>1.9304586081037158E-4</v>
      </c>
      <c r="T23" s="646">
        <f>'SC-Retro'!N120</f>
        <v>1.6593926891777603E-4</v>
      </c>
      <c r="U23" s="646">
        <f>'SC-Retro'!O120</f>
        <v>1.2841081228801327E-4</v>
      </c>
      <c r="V23" s="646">
        <f>'SC-Retro'!P120</f>
        <v>8.8125534411926225E-5</v>
      </c>
      <c r="W23" s="646">
        <f>'SC-Retro'!Q120</f>
        <v>5.2734991901580891E-5</v>
      </c>
      <c r="X23" s="646">
        <f>'SC-Retro'!R120</f>
        <v>2.7001406589680304E-5</v>
      </c>
      <c r="Y23" s="646">
        <f>'SC-Retro'!S120</f>
        <v>1.1584523486234158E-5</v>
      </c>
      <c r="Z23" s="646">
        <f>'SC-Retro'!T120</f>
        <v>4.0698817826590102E-6</v>
      </c>
      <c r="AA23" s="646">
        <f>'SC-Retro'!U120</f>
        <v>1.1417415248213438E-6</v>
      </c>
      <c r="AB23" s="646">
        <f>'SC-Retro'!V120</f>
        <v>2.4884781085783553E-7</v>
      </c>
      <c r="AC23" s="646">
        <f>'SC-Retro'!W120</f>
        <v>4.090362148890016E-8</v>
      </c>
      <c r="AD23" s="646">
        <f>'SC-Retro'!X120</f>
        <v>4.9098272017052007E-9</v>
      </c>
      <c r="AE23" s="646">
        <f>'SC-Retro'!Y120</f>
        <v>1.8276344046507526E-3</v>
      </c>
      <c r="AF23" s="647">
        <f t="shared" si="2"/>
        <v>0.18333752840942297</v>
      </c>
      <c r="AG23" s="647">
        <f t="shared" si="3"/>
        <v>0.16592347912039981</v>
      </c>
      <c r="AH23" s="647">
        <f t="shared" si="4"/>
        <v>0.19318449776440541</v>
      </c>
      <c r="AI23" s="647">
        <f t="shared" si="5"/>
        <v>0.17964715016625954</v>
      </c>
      <c r="AJ23" s="647">
        <f t="shared" si="6"/>
        <v>0.18375050207065927</v>
      </c>
      <c r="AK23" s="647">
        <f t="shared" si="7"/>
        <v>0.17941070895254463</v>
      </c>
      <c r="AL23" s="647">
        <f t="shared" si="8"/>
        <v>0.17064381902397849</v>
      </c>
      <c r="AM23" s="647">
        <f t="shared" si="9"/>
        <v>0.18319961533139134</v>
      </c>
      <c r="AN23" s="647">
        <f t="shared" si="10"/>
        <v>0.16864684499917862</v>
      </c>
      <c r="AO23" s="647">
        <f t="shared" si="11"/>
        <v>0.19135806705873457</v>
      </c>
      <c r="AP23" s="647">
        <f t="shared" si="12"/>
        <v>0.17084650189576633</v>
      </c>
      <c r="AQ23" s="647">
        <f t="shared" si="13"/>
        <v>0.18096578199425445</v>
      </c>
      <c r="AR23" s="647"/>
      <c r="AS23" s="647">
        <f t="shared" si="14"/>
        <v>8.242895176955245E-2</v>
      </c>
      <c r="AT23" s="647">
        <f t="shared" si="15"/>
        <v>7.1539897335657465E-2</v>
      </c>
      <c r="AU23" s="647">
        <f t="shared" si="16"/>
        <v>7.0164469329157875E-2</v>
      </c>
      <c r="AV23" s="647">
        <f t="shared" si="17"/>
        <v>7.2869417745288489E-2</v>
      </c>
      <c r="AW23" s="647">
        <f t="shared" si="18"/>
        <v>7.3539717357862924E-2</v>
      </c>
      <c r="AX23" s="647">
        <f t="shared" si="19"/>
        <v>6.7101501624347415E-2</v>
      </c>
      <c r="AY23" s="647">
        <f t="shared" si="20"/>
        <v>7.8776395419651382E-2</v>
      </c>
      <c r="AZ23" s="647">
        <f t="shared" si="21"/>
        <v>6.7750749859474282E-2</v>
      </c>
      <c r="BA23" s="647">
        <f t="shared" si="22"/>
        <v>7.8993309965400327E-2</v>
      </c>
      <c r="BB23" s="647">
        <f t="shared" si="23"/>
        <v>6.856373206961057E-2</v>
      </c>
      <c r="BC23" s="647">
        <f t="shared" si="24"/>
        <v>8.0102996826257503E-2</v>
      </c>
      <c r="BD23" s="647">
        <f t="shared" si="25"/>
        <v>8.2174211429129451E-2</v>
      </c>
    </row>
    <row r="24" spans="1:56" ht="15">
      <c r="A24" s="642" t="str">
        <f>VLOOKUP(CONCATENATE($C24," - ",$B24),[1]ACHIEV!$B$17:$C$50,2,FALSE)</f>
        <v>Retro5Med</v>
      </c>
      <c r="B24" s="642" t="str">
        <f>'SC-Retro'!$C$7</f>
        <v>Retro</v>
      </c>
      <c r="C24" s="642" t="str">
        <f>'SC-Retro'!$C$8</f>
        <v>Dairy</v>
      </c>
      <c r="D24" s="642" t="s">
        <v>804</v>
      </c>
      <c r="E24" s="642" t="str">
        <f>INDEX([1]MLIST!A$10:B$42,MATCH($I24,[1]MLIST!$B$10:$B$42,0),1)</f>
        <v>Motors/Drives</v>
      </c>
      <c r="F24" s="643">
        <f t="shared" si="1"/>
        <v>2.5652026670245219E-3</v>
      </c>
      <c r="G24" s="644">
        <f>'SC-Retro'!A121</f>
        <v>7.4915370557043142</v>
      </c>
      <c r="H24" s="644">
        <f>'SC-Retro'!B121</f>
        <v>-5.4739757676741085</v>
      </c>
      <c r="I24" s="637" t="str">
        <f>'SC-Retro'!C121</f>
        <v>VSD - Vacuum Pump</v>
      </c>
      <c r="J24" s="648" t="str">
        <f>'SC-Retro'!D121</f>
        <v>Washington FreeStall</v>
      </c>
      <c r="K24" s="646">
        <f ca="1">'SC-Retro'!E121</f>
        <v>4.9309125772923105E-4</v>
      </c>
      <c r="L24" s="646">
        <f ca="1">'SC-Retro'!F121</f>
        <v>6.160174194082674E-4</v>
      </c>
      <c r="M24" s="646">
        <f ca="1">'SC-Retro'!G121</f>
        <v>7.6796035012722619E-4</v>
      </c>
      <c r="N24" s="646">
        <f ca="1">'SC-Retro'!H121</f>
        <v>9.0545170005677973E-4</v>
      </c>
      <c r="O24" s="646">
        <f ca="1">'SC-Retro'!I121</f>
        <v>1.0496374254628804E-3</v>
      </c>
      <c r="P24" s="646">
        <f ca="1">'SC-Retro'!J121</f>
        <v>1.2438648434634826E-3</v>
      </c>
      <c r="Q24" s="646">
        <f ca="1">'SC-Retro'!K121</f>
        <v>1.387580646317879E-3</v>
      </c>
      <c r="R24" s="646">
        <f ca="1">'SC-Retro'!L121</f>
        <v>1.4353734469546534E-3</v>
      </c>
      <c r="S24" s="646">
        <f ca="1">'SC-Retro'!M121</f>
        <v>1.3730840300983441E-3</v>
      </c>
      <c r="T24" s="646">
        <f ca="1">'SC-Retro'!N121</f>
        <v>1.2003499597267328E-3</v>
      </c>
      <c r="U24" s="646">
        <f ca="1">'SC-Retro'!O121</f>
        <v>9.4591836127103253E-4</v>
      </c>
      <c r="V24" s="646">
        <f ca="1">'SC-Retro'!P121</f>
        <v>6.6167353634166302E-4</v>
      </c>
      <c r="W24" s="646">
        <f ca="1">'SC-Retro'!Q121</f>
        <v>4.0288380696678862E-4</v>
      </c>
      <c r="X24" s="646">
        <f ca="1">'SC-Retro'!R121</f>
        <v>2.0991879389956015E-4</v>
      </c>
      <c r="Y24" s="646">
        <f ca="1">'SC-Retro'!S121</f>
        <v>9.1562156608765143E-5</v>
      </c>
      <c r="Z24" s="646">
        <f ca="1">'SC-Retro'!T121</f>
        <v>3.2799718342561489E-5</v>
      </c>
      <c r="AA24" s="646">
        <f ca="1">'SC-Retro'!U121</f>
        <v>9.368667934089493E-6</v>
      </c>
      <c r="AB24" s="646">
        <f ca="1">'SC-Retro'!V121</f>
        <v>2.0735483842458449E-6</v>
      </c>
      <c r="AC24" s="646">
        <f ca="1">'SC-Retro'!W121</f>
        <v>3.473434194439269E-7</v>
      </c>
      <c r="AD24" s="646">
        <f ca="1">'SC-Retro'!X121</f>
        <v>4.227615666065302E-8</v>
      </c>
      <c r="AE24" s="646">
        <f ca="1">'SC-Retro'!Y121</f>
        <v>1.5736879371758744E-2</v>
      </c>
      <c r="AF24" s="647">
        <f t="shared" si="2"/>
        <v>0.4240242897034478</v>
      </c>
      <c r="AG24" s="647">
        <f t="shared" si="3"/>
        <v>0.38738688236857016</v>
      </c>
      <c r="AH24" s="647">
        <f t="shared" si="4"/>
        <v>0.45108597618047253</v>
      </c>
      <c r="AI24" s="647">
        <f t="shared" si="5"/>
        <v>0.41557096814360467</v>
      </c>
      <c r="AJ24" s="647">
        <f t="shared" si="6"/>
        <v>0.43215917643761542</v>
      </c>
      <c r="AK24" s="647">
        <f t="shared" si="7"/>
        <v>0.43244556992374283</v>
      </c>
      <c r="AL24" s="647">
        <f t="shared" si="8"/>
        <v>0.41782737812710086</v>
      </c>
      <c r="AM24" s="647">
        <f t="shared" si="9"/>
        <v>0.44987294339073336</v>
      </c>
      <c r="AN24" s="647">
        <f t="shared" si="10"/>
        <v>0.39895841579518093</v>
      </c>
      <c r="AO24" s="647">
        <f t="shared" si="11"/>
        <v>0.44827142794291264</v>
      </c>
      <c r="AP24" s="647">
        <f t="shared" si="12"/>
        <v>0.40197776478439018</v>
      </c>
      <c r="AQ24" s="647">
        <f t="shared" si="13"/>
        <v>0.42259373782325393</v>
      </c>
      <c r="AR24" s="647"/>
      <c r="AS24" s="647">
        <f t="shared" si="14"/>
        <v>0.22039736352469122</v>
      </c>
      <c r="AT24" s="647">
        <f t="shared" si="15"/>
        <v>0.19136639762298374</v>
      </c>
      <c r="AU24" s="647">
        <f t="shared" si="16"/>
        <v>0.18545687594011875</v>
      </c>
      <c r="AV24" s="647">
        <f t="shared" si="17"/>
        <v>0.19696784682345242</v>
      </c>
      <c r="AW24" s="647">
        <f t="shared" si="18"/>
        <v>0.20073868424726632</v>
      </c>
      <c r="AX24" s="647">
        <f t="shared" si="19"/>
        <v>0.18033858605437719</v>
      </c>
      <c r="AY24" s="647">
        <f t="shared" si="20"/>
        <v>0.21749987859729789</v>
      </c>
      <c r="AZ24" s="647">
        <f t="shared" si="21"/>
        <v>0.18464032089098953</v>
      </c>
      <c r="BA24" s="647">
        <f t="shared" si="22"/>
        <v>0.21280579446982198</v>
      </c>
      <c r="BB24" s="647">
        <f t="shared" si="23"/>
        <v>0.18437519667141183</v>
      </c>
      <c r="BC24" s="647">
        <f t="shared" si="24"/>
        <v>0.21521244355554311</v>
      </c>
      <c r="BD24" s="647">
        <f t="shared" si="25"/>
        <v>0.21956313668533214</v>
      </c>
    </row>
    <row r="25" spans="1:56" ht="15">
      <c r="A25" s="642" t="str">
        <f>VLOOKUP(CONCATENATE($C25," - ",$B25),[1]ACHIEV!$B$17:$C$50,2,FALSE)</f>
        <v>Retro5Med</v>
      </c>
      <c r="B25" s="642" t="str">
        <f>'SC-Retro'!$C$7</f>
        <v>Retro</v>
      </c>
      <c r="C25" s="642" t="str">
        <f>'SC-Retro'!$C$8</f>
        <v>Dairy</v>
      </c>
      <c r="D25" s="642" t="s">
        <v>804</v>
      </c>
      <c r="E25" s="642" t="str">
        <f>INDEX([1]MLIST!A$10:B$42,MATCH($I25,[1]MLIST!$B$10:$B$42,0),1)</f>
        <v>Refrigeration</v>
      </c>
      <c r="F25" s="643">
        <f t="shared" si="1"/>
        <v>1.4192173013927816E-3</v>
      </c>
      <c r="G25" s="644">
        <f>'SC-Retro'!A122</f>
        <v>4.1447481480335853</v>
      </c>
      <c r="H25" s="644">
        <f>'SC-Retro'!B122</f>
        <v>-5.4748497277739405</v>
      </c>
      <c r="I25" s="637" t="str">
        <f>'SC-Retro'!C122</f>
        <v>Plate Milk Pre-cooler</v>
      </c>
      <c r="J25" s="648" t="str">
        <f>'SC-Retro'!D122</f>
        <v>Washington FreeStall</v>
      </c>
      <c r="K25" s="646">
        <f ca="1">'SC-Retro'!E122</f>
        <v>5.183321150209563E-3</v>
      </c>
      <c r="L25" s="646">
        <f ca="1">'SC-Retro'!F122</f>
        <v>6.4755074620888014E-3</v>
      </c>
      <c r="M25" s="646">
        <f ca="1">'SC-Retro'!G122</f>
        <v>8.0727148635083585E-3</v>
      </c>
      <c r="N25" s="646">
        <f ca="1">'SC-Retro'!H122</f>
        <v>9.518008834735199E-3</v>
      </c>
      <c r="O25" s="646">
        <f ca="1">'SC-Retro'!I122</f>
        <v>1.1033673345798477E-2</v>
      </c>
      <c r="P25" s="646">
        <f ca="1">'SC-Retro'!J122</f>
        <v>1.3075370633861008E-2</v>
      </c>
      <c r="Q25" s="646">
        <f ca="1">'SC-Retro'!K122</f>
        <v>1.4586095370667428E-2</v>
      </c>
      <c r="R25" s="646">
        <f ca="1">'SC-Retro'!L122</f>
        <v>1.5088488042379271E-2</v>
      </c>
      <c r="S25" s="646">
        <f ca="1">'SC-Retro'!M122</f>
        <v>1.4433708532978963E-2</v>
      </c>
      <c r="T25" s="646">
        <f ca="1">'SC-Retro'!N122</f>
        <v>1.2617946954803488E-2</v>
      </c>
      <c r="U25" s="646">
        <f ca="1">'SC-Retro'!O122</f>
        <v>9.9433899333905319E-3</v>
      </c>
      <c r="V25" s="646">
        <f ca="1">'SC-Retro'!P122</f>
        <v>6.9554395493602829E-3</v>
      </c>
      <c r="W25" s="646">
        <f ca="1">'SC-Retro'!Q122</f>
        <v>4.2350703343327746E-3</v>
      </c>
      <c r="X25" s="646">
        <f ca="1">'SC-Retro'!R122</f>
        <v>2.2066433082931739E-3</v>
      </c>
      <c r="Y25" s="646">
        <f ca="1">'SC-Retro'!S122</f>
        <v>9.6249133496020226E-4</v>
      </c>
      <c r="Z25" s="646">
        <f ca="1">'SC-Retro'!T122</f>
        <v>3.4478703716802283E-4</v>
      </c>
      <c r="AA25" s="646">
        <f ca="1">'SC-Retro'!U122</f>
        <v>9.848240846063059E-5</v>
      </c>
      <c r="AB25" s="646">
        <f ca="1">'SC-Retro'!V122</f>
        <v>2.179691289912563E-5</v>
      </c>
      <c r="AC25" s="646">
        <f ca="1">'SC-Retro'!W122</f>
        <v>3.6512358801105734E-6</v>
      </c>
      <c r="AD25" s="646">
        <f ca="1">'SC-Retro'!X122</f>
        <v>4.4440231606999215E-7</v>
      </c>
      <c r="AE25" s="646">
        <f ca="1">'SC-Retro'!Y122</f>
        <v>0.16542434773955259</v>
      </c>
      <c r="AF25" s="647">
        <f t="shared" si="2"/>
        <v>0.23459456669595202</v>
      </c>
      <c r="AG25" s="647">
        <f t="shared" si="3"/>
        <v>0.21432465078005061</v>
      </c>
      <c r="AH25" s="647">
        <f t="shared" si="4"/>
        <v>0.24956664439833867</v>
      </c>
      <c r="AI25" s="647">
        <f t="shared" si="5"/>
        <v>0.22991770417503399</v>
      </c>
      <c r="AJ25" s="647">
        <f t="shared" si="6"/>
        <v>0.23909525280017827</v>
      </c>
      <c r="AK25" s="647">
        <f t="shared" si="7"/>
        <v>0.23925370210936664</v>
      </c>
      <c r="AL25" s="647">
        <f t="shared" si="8"/>
        <v>0.23116607964601685</v>
      </c>
      <c r="AM25" s="647">
        <f t="shared" si="9"/>
        <v>0.24889552505775592</v>
      </c>
      <c r="AN25" s="647">
        <f t="shared" si="10"/>
        <v>0.22072668702217724</v>
      </c>
      <c r="AO25" s="647">
        <f t="shared" si="11"/>
        <v>0.24800947482039537</v>
      </c>
      <c r="AP25" s="647">
        <f t="shared" si="12"/>
        <v>0.22239716412697422</v>
      </c>
      <c r="AQ25" s="647">
        <f t="shared" si="13"/>
        <v>0.23380310331373666</v>
      </c>
      <c r="AR25" s="647"/>
      <c r="AS25" s="647">
        <f t="shared" si="14"/>
        <v>0.12193646744427233</v>
      </c>
      <c r="AT25" s="647">
        <f t="shared" si="15"/>
        <v>0.10587487137099283</v>
      </c>
      <c r="AU25" s="647">
        <f t="shared" si="16"/>
        <v>0.10260538489996633</v>
      </c>
      <c r="AV25" s="647">
        <f t="shared" si="17"/>
        <v>0.10897391446819928</v>
      </c>
      <c r="AW25" s="647">
        <f t="shared" si="18"/>
        <v>0.11106015809386323</v>
      </c>
      <c r="AX25" s="647">
        <f t="shared" si="19"/>
        <v>9.9773653258343697E-2</v>
      </c>
      <c r="AY25" s="647">
        <f t="shared" si="20"/>
        <v>0.12033341253077838</v>
      </c>
      <c r="AZ25" s="647">
        <f t="shared" si="21"/>
        <v>0.10215361979455732</v>
      </c>
      <c r="BA25" s="647">
        <f t="shared" si="22"/>
        <v>0.1177363758546726</v>
      </c>
      <c r="BB25" s="647">
        <f t="shared" si="23"/>
        <v>0.10200693786401052</v>
      </c>
      <c r="BC25" s="647">
        <f t="shared" si="24"/>
        <v>0.11906787221741355</v>
      </c>
      <c r="BD25" s="647">
        <f t="shared" si="25"/>
        <v>0.12147492529053758</v>
      </c>
    </row>
    <row r="26" spans="1:56" ht="15">
      <c r="A26" s="642" t="str">
        <f>VLOOKUP(CONCATENATE($C26," - ",$B26),[1]ACHIEV!$B$17:$C$50,2,FALSE)</f>
        <v>Retro5Med</v>
      </c>
      <c r="B26" s="642" t="str">
        <f>'SC-Retro'!$C$7</f>
        <v>Retro</v>
      </c>
      <c r="C26" s="642" t="str">
        <f>'SC-Retro'!$C$8</f>
        <v>Dairy</v>
      </c>
      <c r="D26" s="642" t="s">
        <v>804</v>
      </c>
      <c r="E26" s="642" t="str">
        <f>INDEX([1]MLIST!A$10:B$42,MATCH($I26,[1]MLIST!$B$10:$B$42,0),1)</f>
        <v>Lighting</v>
      </c>
      <c r="F26" s="643">
        <f t="shared" si="1"/>
        <v>9.9436746959285252E-5</v>
      </c>
      <c r="G26" s="644">
        <f>'SC-Retro'!A123</f>
        <v>0.56446323784331998</v>
      </c>
      <c r="H26" s="644">
        <f>'SC-Retro'!B123</f>
        <v>4.7413092438539524</v>
      </c>
      <c r="I26" s="637" t="str">
        <f>'SC-Retro'!C123</f>
        <v>Energy Efficient Lighting</v>
      </c>
      <c r="J26" s="648" t="str">
        <f>'SC-Retro'!D123</f>
        <v>Washington FreeStall</v>
      </c>
      <c r="K26" s="646">
        <f ca="1">'SC-Retro'!E123</f>
        <v>3.358059170733381E-3</v>
      </c>
      <c r="L26" s="646">
        <f ca="1">'SC-Retro'!F123</f>
        <v>4.1952131824478144E-3</v>
      </c>
      <c r="M26" s="646">
        <f ca="1">'SC-Retro'!G123</f>
        <v>5.2299777294377951E-3</v>
      </c>
      <c r="N26" s="646">
        <f ca="1">'SC-Retro'!H123</f>
        <v>6.1663238546026886E-3</v>
      </c>
      <c r="O26" s="646">
        <f ca="1">'SC-Retro'!I123</f>
        <v>7.1482601390108784E-3</v>
      </c>
      <c r="P26" s="646">
        <f ca="1">'SC-Retro'!J123</f>
        <v>8.4709912805614376E-3</v>
      </c>
      <c r="Q26" s="646">
        <f ca="1">'SC-Retro'!K123</f>
        <v>9.4497272897476458E-3</v>
      </c>
      <c r="R26" s="646">
        <f ca="1">'SC-Retro'!L123</f>
        <v>9.7752067014339142E-3</v>
      </c>
      <c r="S26" s="646">
        <f ca="1">'SC-Retro'!M123</f>
        <v>9.3510021668063211E-3</v>
      </c>
      <c r="T26" s="646">
        <f ca="1">'SC-Retro'!N123</f>
        <v>8.1746454173868971E-3</v>
      </c>
      <c r="U26" s="646">
        <f ca="1">'SC-Retro'!O123</f>
        <v>6.4419106565777951E-3</v>
      </c>
      <c r="V26" s="646">
        <f ca="1">'SC-Retro'!P123</f>
        <v>4.5061413113996656E-3</v>
      </c>
      <c r="W26" s="646">
        <f ca="1">'SC-Retro'!Q123</f>
        <v>2.7437267270873362E-3</v>
      </c>
      <c r="X26" s="646">
        <f ca="1">'SC-Retro'!R123</f>
        <v>1.4295928388793249E-3</v>
      </c>
      <c r="Y26" s="646">
        <f ca="1">'SC-Retro'!S123</f>
        <v>6.2355828636700365E-4</v>
      </c>
      <c r="Z26" s="646">
        <f ca="1">'SC-Retro'!T123</f>
        <v>2.2337324633362902E-4</v>
      </c>
      <c r="AA26" s="646">
        <f ca="1">'SC-Retro'!U123</f>
        <v>6.3802675023090264E-5</v>
      </c>
      <c r="AB26" s="646">
        <f ca="1">'SC-Retro'!V123</f>
        <v>1.4121317420516421E-5</v>
      </c>
      <c r="AC26" s="646">
        <f ca="1">'SC-Retro'!W123</f>
        <v>2.3654845564065342E-6</v>
      </c>
      <c r="AD26" s="646">
        <f ca="1">'SC-Retro'!X123</f>
        <v>2.879098612119869E-7</v>
      </c>
      <c r="AE26" s="646">
        <f ca="1">'SC-Retro'!Y123</f>
        <v>0.10717158591783055</v>
      </c>
      <c r="AF26" s="647">
        <f t="shared" si="2"/>
        <v>3.3986869962608982E-2</v>
      </c>
      <c r="AG26" s="647">
        <f t="shared" si="3"/>
        <v>3.0758676401567858E-2</v>
      </c>
      <c r="AH26" s="647">
        <f t="shared" si="4"/>
        <v>3.581228819474646E-2</v>
      </c>
      <c r="AI26" s="647">
        <f t="shared" si="5"/>
        <v>3.3302752496035835E-2</v>
      </c>
      <c r="AJ26" s="647">
        <f t="shared" si="6"/>
        <v>3.406342647694726E-2</v>
      </c>
      <c r="AK26" s="647">
        <f t="shared" si="7"/>
        <v>3.3258921334712525E-2</v>
      </c>
      <c r="AL26" s="647">
        <f t="shared" si="8"/>
        <v>3.1633726806545373E-2</v>
      </c>
      <c r="AM26" s="647">
        <f t="shared" si="9"/>
        <v>3.3961303817532908E-2</v>
      </c>
      <c r="AN26" s="647">
        <f t="shared" si="10"/>
        <v>3.1263530387468458E-2</v>
      </c>
      <c r="AO26" s="647">
        <f t="shared" si="11"/>
        <v>3.5473706871937703E-2</v>
      </c>
      <c r="AP26" s="647">
        <f t="shared" si="12"/>
        <v>3.1671299890828036E-2</v>
      </c>
      <c r="AQ26" s="647">
        <f t="shared" si="13"/>
        <v>3.3547198730559835E-2</v>
      </c>
      <c r="AR26" s="647"/>
      <c r="AS26" s="647">
        <f t="shared" si="14"/>
        <v>1.5280570700668168E-2</v>
      </c>
      <c r="AT26" s="647">
        <f t="shared" si="15"/>
        <v>1.3261972106745276E-2</v>
      </c>
      <c r="AU26" s="647">
        <f t="shared" si="16"/>
        <v>1.3006997071326236E-2</v>
      </c>
      <c r="AV26" s="647">
        <f t="shared" si="17"/>
        <v>1.3508436852216569E-2</v>
      </c>
      <c r="AW26" s="647">
        <f t="shared" si="18"/>
        <v>1.3632696113079297E-2</v>
      </c>
      <c r="AX26" s="647">
        <f t="shared" si="19"/>
        <v>1.2439188145427604E-2</v>
      </c>
      <c r="AY26" s="647">
        <f t="shared" si="20"/>
        <v>1.4603464606939412E-2</v>
      </c>
      <c r="AZ26" s="647">
        <f t="shared" si="21"/>
        <v>1.2559544929617654E-2</v>
      </c>
      <c r="BA26" s="647">
        <f t="shared" si="22"/>
        <v>1.4643675940229039E-2</v>
      </c>
      <c r="BB26" s="647">
        <f t="shared" si="23"/>
        <v>1.2710254502815961E-2</v>
      </c>
      <c r="BC26" s="647">
        <f t="shared" si="24"/>
        <v>1.4849388231467881E-2</v>
      </c>
      <c r="BD26" s="647">
        <f t="shared" si="25"/>
        <v>1.5233347271295581E-2</v>
      </c>
    </row>
    <row r="27" spans="1:56" ht="15">
      <c r="A27" s="642" t="str">
        <f>VLOOKUP(CONCATENATE($C27," - ",$B27),[1]ACHIEV!$B$17:$C$50,2,FALSE)</f>
        <v>Retro5Med</v>
      </c>
      <c r="B27" s="642" t="str">
        <f>'SC-Retro'!$C$7</f>
        <v>Retro</v>
      </c>
      <c r="C27" s="642" t="str">
        <f>'SC-Retro'!$C$8</f>
        <v>Dairy</v>
      </c>
      <c r="D27" s="642" t="s">
        <v>804</v>
      </c>
      <c r="E27" s="642" t="str">
        <f>INDEX([1]MLIST!A$10:B$42,MATCH($I27,[1]MLIST!$B$10:$B$42,0),1)</f>
        <v>Motors/Drives</v>
      </c>
      <c r="F27" s="643">
        <f t="shared" si="1"/>
        <v>1.7982490631536358E-3</v>
      </c>
      <c r="G27" s="644">
        <f>'SC-Retro'!A124</f>
        <v>5.2516901160200797</v>
      </c>
      <c r="H27" s="644">
        <f>'SC-Retro'!B124</f>
        <v>-6.6853843794400083</v>
      </c>
      <c r="I27" s="637" t="str">
        <f>'SC-Retro'!C124</f>
        <v>VSD - Vacuum Pump</v>
      </c>
      <c r="J27" s="648" t="str">
        <f>'SC-Retro'!D124</f>
        <v>Washington TieStall</v>
      </c>
      <c r="K27" s="646">
        <f>'SC-Retro'!E124</f>
        <v>3.7740383302375019E-4</v>
      </c>
      <c r="L27" s="646">
        <f>'SC-Retro'!F124</f>
        <v>4.6339171789017071E-4</v>
      </c>
      <c r="M27" s="646">
        <f>'SC-Retro'!G124</f>
        <v>5.6705585462299055E-4</v>
      </c>
      <c r="N27" s="646">
        <f>'SC-Retro'!H124</f>
        <v>6.5826249946002939E-4</v>
      </c>
      <c r="O27" s="646">
        <f>'SC-Retro'!I124</f>
        <v>7.5083173834830121E-4</v>
      </c>
      <c r="P27" s="646">
        <f>'SC-Retro'!J124</f>
        <v>8.7781255426576496E-4</v>
      </c>
      <c r="Q27" s="646">
        <f>'SC-Retro'!K124</f>
        <v>9.6297400402659916E-4</v>
      </c>
      <c r="R27" s="646">
        <f>'SC-Retro'!L124</f>
        <v>9.8374596665782308E-4</v>
      </c>
      <c r="S27" s="646">
        <f>'SC-Retro'!M124</f>
        <v>9.2706251333478048E-4</v>
      </c>
      <c r="T27" s="646">
        <f>'SC-Retro'!N124</f>
        <v>7.9688875512830726E-4</v>
      </c>
      <c r="U27" s="646">
        <f>'SC-Retro'!O124</f>
        <v>6.1666616357044666E-4</v>
      </c>
      <c r="V27" s="646">
        <f>'SC-Retro'!P124</f>
        <v>4.2320451253364405E-4</v>
      </c>
      <c r="W27" s="646">
        <f>'SC-Retro'!Q124</f>
        <v>2.5324880796585451E-4</v>
      </c>
      <c r="X27" s="646">
        <f>'SC-Retro'!R124</f>
        <v>1.296686277111747E-4</v>
      </c>
      <c r="Y27" s="646">
        <f>'SC-Retro'!S124</f>
        <v>5.5632259680944363E-5</v>
      </c>
      <c r="Z27" s="646">
        <f>'SC-Retro'!T124</f>
        <v>1.9544759046212031E-5</v>
      </c>
      <c r="AA27" s="646">
        <f>'SC-Retro'!U124</f>
        <v>5.4829757195327164E-6</v>
      </c>
      <c r="AB27" s="646">
        <f>'SC-Retro'!V124</f>
        <v>1.1950397486032431E-6</v>
      </c>
      <c r="AC27" s="646">
        <f>'SC-Retro'!W124</f>
        <v>1.9643111736668233E-7</v>
      </c>
      <c r="AD27" s="646">
        <f>'SC-Retro'!X124</f>
        <v>2.3578421865897631E-8</v>
      </c>
      <c r="AE27" s="646">
        <f>'SC-Retro'!Y124</f>
        <v>8.7768333261337237E-3</v>
      </c>
      <c r="AF27" s="647">
        <f t="shared" si="2"/>
        <v>0.29724796855839297</v>
      </c>
      <c r="AG27" s="647">
        <f t="shared" si="3"/>
        <v>0.27156454624512122</v>
      </c>
      <c r="AH27" s="647">
        <f t="shared" si="4"/>
        <v>0.31621865379127323</v>
      </c>
      <c r="AI27" s="647">
        <f t="shared" si="5"/>
        <v>0.29132205176010867</v>
      </c>
      <c r="AJ27" s="647">
        <f t="shared" si="6"/>
        <v>0.3029506573309515</v>
      </c>
      <c r="AK27" s="647">
        <f t="shared" si="7"/>
        <v>0.30315142385312238</v>
      </c>
      <c r="AL27" s="647">
        <f t="shared" si="8"/>
        <v>0.29290383209702803</v>
      </c>
      <c r="AM27" s="647">
        <f t="shared" si="9"/>
        <v>0.31536829794775101</v>
      </c>
      <c r="AN27" s="647">
        <f t="shared" si="10"/>
        <v>0.27967638060859878</v>
      </c>
      <c r="AO27" s="647">
        <f t="shared" si="11"/>
        <v>0.3142456094012705</v>
      </c>
      <c r="AP27" s="647">
        <f t="shared" si="12"/>
        <v>0.28179299367819194</v>
      </c>
      <c r="AQ27" s="647">
        <f t="shared" si="13"/>
        <v>0.29624512827157257</v>
      </c>
      <c r="AR27" s="647"/>
      <c r="AS27" s="647">
        <f t="shared" si="14"/>
        <v>0.1545021598389047</v>
      </c>
      <c r="AT27" s="647">
        <f t="shared" si="15"/>
        <v>0.13415097749129504</v>
      </c>
      <c r="AU27" s="647">
        <f t="shared" si="16"/>
        <v>0.13000830604996816</v>
      </c>
      <c r="AV27" s="647">
        <f t="shared" si="17"/>
        <v>0.13807768507917126</v>
      </c>
      <c r="AW27" s="647">
        <f t="shared" si="18"/>
        <v>0.14072110384364006</v>
      </c>
      <c r="AX27" s="647">
        <f t="shared" si="19"/>
        <v>0.12642030105126001</v>
      </c>
      <c r="AY27" s="647">
        <f t="shared" si="20"/>
        <v>0.15247097547161625</v>
      </c>
      <c r="AZ27" s="647">
        <f t="shared" si="21"/>
        <v>0.12943588759313987</v>
      </c>
      <c r="BA27" s="647">
        <f t="shared" si="22"/>
        <v>0.14918034565389932</v>
      </c>
      <c r="BB27" s="647">
        <f t="shared" si="23"/>
        <v>0.12925003117500822</v>
      </c>
      <c r="BC27" s="647">
        <f t="shared" si="24"/>
        <v>0.15086744606096286</v>
      </c>
      <c r="BD27" s="647">
        <f t="shared" si="25"/>
        <v>0.15391735316782978</v>
      </c>
    </row>
    <row r="28" spans="1:56" ht="15">
      <c r="A28" s="642" t="str">
        <f>VLOOKUP(CONCATENATE($C28," - ",$B28),[1]ACHIEV!$B$17:$C$50,2,FALSE)</f>
        <v>Retro5Med</v>
      </c>
      <c r="B28" s="642" t="str">
        <f>'SC-Retro'!$C$7</f>
        <v>Retro</v>
      </c>
      <c r="C28" s="642" t="str">
        <f>'SC-Retro'!$C$8</f>
        <v>Dairy</v>
      </c>
      <c r="D28" s="642" t="s">
        <v>804</v>
      </c>
      <c r="E28" s="642" t="str">
        <f>INDEX([1]MLIST!A$10:B$42,MATCH($I28,[1]MLIST!$B$10:$B$42,0),1)</f>
        <v>Refrigeration</v>
      </c>
      <c r="F28" s="643">
        <f t="shared" si="1"/>
        <v>1.9029775194882078E-3</v>
      </c>
      <c r="G28" s="644">
        <f>'SC-Retro'!A125</f>
        <v>5.5575439658943351</v>
      </c>
      <c r="H28" s="644">
        <f>'SC-Retro'!B125</f>
        <v>-6.6357268278525448</v>
      </c>
      <c r="I28" s="637" t="str">
        <f>'SC-Retro'!C125</f>
        <v>Heat Recovery Refrigeration</v>
      </c>
      <c r="J28" s="648" t="str">
        <f>'SC-Retro'!D125</f>
        <v>Washington TieStall</v>
      </c>
      <c r="K28" s="646">
        <f>'SC-Retro'!E125</f>
        <v>2.0948935975362375E-3</v>
      </c>
      <c r="L28" s="646">
        <f>'SC-Retro'!F125</f>
        <v>2.5721952402596483E-3</v>
      </c>
      <c r="M28" s="646">
        <f>'SC-Retro'!G125</f>
        <v>3.1476142406332863E-3</v>
      </c>
      <c r="N28" s="646">
        <f>'SC-Retro'!H125</f>
        <v>3.6538841817492528E-3</v>
      </c>
      <c r="O28" s="646">
        <f>'SC-Retro'!I125</f>
        <v>4.1677176113732693E-3</v>
      </c>
      <c r="P28" s="646">
        <f>'SC-Retro'!J125</f>
        <v>4.8725628593511367E-3</v>
      </c>
      <c r="Q28" s="646">
        <f>'SC-Retro'!K125</f>
        <v>5.3452771252119405E-3</v>
      </c>
      <c r="R28" s="646">
        <f>'SC-Retro'!L125</f>
        <v>5.4605781574663583E-3</v>
      </c>
      <c r="S28" s="646">
        <f>'SC-Retro'!M125</f>
        <v>5.1459395845051426E-3</v>
      </c>
      <c r="T28" s="646">
        <f>'SC-Retro'!N125</f>
        <v>4.4233709490752778E-3</v>
      </c>
      <c r="U28" s="646">
        <f>'SC-Retro'!O125</f>
        <v>3.4229911962755997E-3</v>
      </c>
      <c r="V28" s="646">
        <f>'SC-Retro'!P125</f>
        <v>2.349124058046818E-3</v>
      </c>
      <c r="W28" s="646">
        <f>'SC-Retro'!Q125</f>
        <v>1.405733752465536E-3</v>
      </c>
      <c r="X28" s="646">
        <f>'SC-Retro'!R125</f>
        <v>7.1976475653959618E-4</v>
      </c>
      <c r="Y28" s="646">
        <f>'SC-Retro'!S125</f>
        <v>3.0880360617521768E-4</v>
      </c>
      <c r="Z28" s="646">
        <f>'SC-Retro'!T125</f>
        <v>1.0848906929019301E-4</v>
      </c>
      <c r="AA28" s="646">
        <f>'SC-Retro'!U125</f>
        <v>3.0434907452497718E-5</v>
      </c>
      <c r="AB28" s="646">
        <f>'SC-Retro'!V125</f>
        <v>6.6334279068986148E-6</v>
      </c>
      <c r="AC28" s="646">
        <f>'SC-Retro'!W125</f>
        <v>1.0903500550892819E-6</v>
      </c>
      <c r="AD28" s="646">
        <f>'SC-Retro'!X125</f>
        <v>1.3087912915757003E-7</v>
      </c>
      <c r="AE28" s="646">
        <f>'SC-Retro'!Y125</f>
        <v>4.8718455756656703E-2</v>
      </c>
      <c r="AF28" s="647">
        <f t="shared" si="2"/>
        <v>0.31455943087669597</v>
      </c>
      <c r="AG28" s="647">
        <f t="shared" si="3"/>
        <v>0.28738022845855893</v>
      </c>
      <c r="AH28" s="647">
        <f t="shared" si="4"/>
        <v>0.33463495226423234</v>
      </c>
      <c r="AI28" s="647">
        <f t="shared" si="5"/>
        <v>0.30828839385487428</v>
      </c>
      <c r="AJ28" s="647">
        <f t="shared" si="6"/>
        <v>0.32059423926735631</v>
      </c>
      <c r="AK28" s="647">
        <f t="shared" si="7"/>
        <v>0.32080669825659497</v>
      </c>
      <c r="AL28" s="647">
        <f t="shared" si="8"/>
        <v>0.30996229569839712</v>
      </c>
      <c r="AM28" s="647">
        <f t="shared" si="9"/>
        <v>0.33373507243838091</v>
      </c>
      <c r="AN28" s="647">
        <f t="shared" si="10"/>
        <v>0.29596448897719813</v>
      </c>
      <c r="AO28" s="647">
        <f t="shared" si="11"/>
        <v>0.33254699949058103</v>
      </c>
      <c r="AP28" s="647">
        <f t="shared" si="12"/>
        <v>0.29820437174506514</v>
      </c>
      <c r="AQ28" s="647">
        <f t="shared" si="13"/>
        <v>0.3134981860466225</v>
      </c>
      <c r="AR28" s="647"/>
      <c r="AS28" s="647">
        <f t="shared" si="14"/>
        <v>0.16350023081351658</v>
      </c>
      <c r="AT28" s="647">
        <f t="shared" si="15"/>
        <v>0.14196381336387345</v>
      </c>
      <c r="AU28" s="647">
        <f t="shared" si="16"/>
        <v>0.13757987635258673</v>
      </c>
      <c r="AV28" s="647">
        <f t="shared" si="17"/>
        <v>0.14611920897532873</v>
      </c>
      <c r="AW28" s="647">
        <f t="shared" si="18"/>
        <v>0.14891657814206447</v>
      </c>
      <c r="AX28" s="647">
        <f t="shared" si="19"/>
        <v>0.13378290907354995</v>
      </c>
      <c r="AY28" s="647">
        <f t="shared" si="20"/>
        <v>0.1613507520410338</v>
      </c>
      <c r="AZ28" s="647">
        <f t="shared" si="21"/>
        <v>0.13697412074430965</v>
      </c>
      <c r="BA28" s="647">
        <f t="shared" si="22"/>
        <v>0.15786847881404761</v>
      </c>
      <c r="BB28" s="647">
        <f t="shared" si="23"/>
        <v>0.13677744021055926</v>
      </c>
      <c r="BC28" s="647">
        <f t="shared" si="24"/>
        <v>0.15965383447670037</v>
      </c>
      <c r="BD28" s="647">
        <f t="shared" si="25"/>
        <v>0.16288136551220478</v>
      </c>
    </row>
    <row r="29" spans="1:56" ht="15">
      <c r="A29" s="642" t="str">
        <f>VLOOKUP(CONCATENATE($C29," - ",$B29),[1]ACHIEV!$B$17:$C$50,2,FALSE)</f>
        <v>Retro5Med</v>
      </c>
      <c r="B29" s="642" t="str">
        <f>'SC-Retro'!$C$7</f>
        <v>Retro</v>
      </c>
      <c r="C29" s="642" t="str">
        <f>'SC-Retro'!$C$8</f>
        <v>Dairy</v>
      </c>
      <c r="D29" s="642" t="s">
        <v>804</v>
      </c>
      <c r="E29" s="642" t="str">
        <f>INDEX([1]MLIST!A$10:B$42,MATCH($I29,[1]MLIST!$B$10:$B$42,0),1)</f>
        <v>Refrigeration</v>
      </c>
      <c r="F29" s="643">
        <f t="shared" si="1"/>
        <v>1.4713856900822407E-3</v>
      </c>
      <c r="G29" s="644">
        <f>'SC-Retro'!A126</f>
        <v>4.297103134260384</v>
      </c>
      <c r="H29" s="644">
        <f>'SC-Retro'!B126</f>
        <v>-7.6191296344260442</v>
      </c>
      <c r="I29" s="637" t="str">
        <f>'SC-Retro'!C126</f>
        <v>Plate Milk Pre-Cooler</v>
      </c>
      <c r="J29" s="648" t="str">
        <f>'SC-Retro'!D126</f>
        <v>Washington TieStall</v>
      </c>
      <c r="K29" s="646">
        <f>'SC-Retro'!E126</f>
        <v>1.0389932754337513E-3</v>
      </c>
      <c r="L29" s="646">
        <f>'SC-Retro'!F126</f>
        <v>1.275718041658795E-3</v>
      </c>
      <c r="M29" s="646">
        <f>'SC-Retro'!G126</f>
        <v>1.5611055537730844E-3</v>
      </c>
      <c r="N29" s="646">
        <f>'SC-Retro'!H126</f>
        <v>1.8121975734309618E-3</v>
      </c>
      <c r="O29" s="646">
        <f>'SC-Retro'!I126</f>
        <v>2.0670408164005748E-3</v>
      </c>
      <c r="P29" s="646">
        <f>'SC-Retro'!J126</f>
        <v>2.4166191786294334E-3</v>
      </c>
      <c r="Q29" s="646">
        <f>'SC-Retro'!K126</f>
        <v>2.6510687678632759E-3</v>
      </c>
      <c r="R29" s="646">
        <f>'SC-Retro'!L126</f>
        <v>2.7082540097790476E-3</v>
      </c>
      <c r="S29" s="646">
        <f>'SC-Retro'!M126</f>
        <v>2.5522043842117906E-3</v>
      </c>
      <c r="T29" s="646">
        <f>'SC-Retro'!N126</f>
        <v>2.1938358474355522E-3</v>
      </c>
      <c r="U29" s="646">
        <f>'SC-Retro'!O126</f>
        <v>1.6976828030702694E-3</v>
      </c>
      <c r="V29" s="646">
        <f>'SC-Retro'!P126</f>
        <v>1.1650826096088009E-3</v>
      </c>
      <c r="W29" s="646">
        <f>'SC-Retro'!Q126</f>
        <v>6.9719431935811259E-4</v>
      </c>
      <c r="X29" s="646">
        <f>'SC-Retro'!R126</f>
        <v>3.5697791182251937E-4</v>
      </c>
      <c r="Y29" s="646">
        <f>'SC-Retro'!S126</f>
        <v>1.5315568801350235E-4</v>
      </c>
      <c r="Z29" s="646">
        <f>'SC-Retro'!T126</f>
        <v>5.3806748745207816E-5</v>
      </c>
      <c r="AA29" s="646">
        <f>'SC-Retro'!U126</f>
        <v>1.5094639755824966E-5</v>
      </c>
      <c r="AB29" s="646">
        <f>'SC-Retro'!V126</f>
        <v>3.289946084349052E-6</v>
      </c>
      <c r="AC29" s="646">
        <f>'SC-Retro'!W126</f>
        <v>5.4077513838360343E-7</v>
      </c>
      <c r="AD29" s="646">
        <f>'SC-Retro'!X126</f>
        <v>6.4911428078861383E-8</v>
      </c>
      <c r="AE29" s="646">
        <f>'SC-Retro'!Y126</f>
        <v>2.4162634312412831E-2</v>
      </c>
      <c r="AF29" s="647">
        <f t="shared" si="2"/>
        <v>0.2432179258727456</v>
      </c>
      <c r="AG29" s="647">
        <f t="shared" si="3"/>
        <v>0.22220291697413769</v>
      </c>
      <c r="AH29" s="647">
        <f t="shared" si="4"/>
        <v>0.25874035563770953</v>
      </c>
      <c r="AI29" s="647">
        <f t="shared" si="5"/>
        <v>0.23836914860586231</v>
      </c>
      <c r="AJ29" s="647">
        <f t="shared" si="6"/>
        <v>0.24788405073101188</v>
      </c>
      <c r="AK29" s="647">
        <f t="shared" si="7"/>
        <v>0.24804832440912616</v>
      </c>
      <c r="AL29" s="647">
        <f t="shared" si="8"/>
        <v>0.23966341256533577</v>
      </c>
      <c r="AM29" s="647">
        <f t="shared" si="9"/>
        <v>0.25804456691451555</v>
      </c>
      <c r="AN29" s="647">
        <f t="shared" si="10"/>
        <v>0.22884028286927482</v>
      </c>
      <c r="AO29" s="647">
        <f t="shared" si="11"/>
        <v>0.25712594674361794</v>
      </c>
      <c r="AP29" s="647">
        <f t="shared" si="12"/>
        <v>0.23057216431209274</v>
      </c>
      <c r="AQ29" s="647">
        <f t="shared" si="13"/>
        <v>0.24239736943387402</v>
      </c>
      <c r="AR29" s="647"/>
      <c r="AS29" s="647">
        <f t="shared" si="14"/>
        <v>0.12641867677388635</v>
      </c>
      <c r="AT29" s="647">
        <f t="shared" si="15"/>
        <v>0.10976667950827243</v>
      </c>
      <c r="AU29" s="647">
        <f t="shared" si="16"/>
        <v>0.10637701141257996</v>
      </c>
      <c r="AV29" s="647">
        <f t="shared" si="17"/>
        <v>0.11297963897663768</v>
      </c>
      <c r="AW29" s="647">
        <f t="shared" si="18"/>
        <v>0.11514256992020407</v>
      </c>
      <c r="AX29" s="647">
        <f t="shared" si="19"/>
        <v>0.10344118938479911</v>
      </c>
      <c r="AY29" s="647">
        <f t="shared" si="20"/>
        <v>0.12475669586524309</v>
      </c>
      <c r="AZ29" s="647">
        <f t="shared" si="21"/>
        <v>0.10590864007104898</v>
      </c>
      <c r="BA29" s="647">
        <f t="shared" si="22"/>
        <v>0.12206419585267227</v>
      </c>
      <c r="BB29" s="647">
        <f t="shared" si="23"/>
        <v>0.10575656632350632</v>
      </c>
      <c r="BC29" s="647">
        <f t="shared" si="24"/>
        <v>0.1234446361084463</v>
      </c>
      <c r="BD29" s="647">
        <f t="shared" si="25"/>
        <v>0.12594016899378208</v>
      </c>
    </row>
    <row r="30" spans="1:56" ht="15">
      <c r="A30" s="642" t="str">
        <f>VLOOKUP(CONCATENATE($C30," - ",$B30),[1]ACHIEV!$B$17:$C$50,2,FALSE)</f>
        <v>Retro5Med</v>
      </c>
      <c r="B30" s="642" t="str">
        <f>'SC-Retro'!$C$7</f>
        <v>Retro</v>
      </c>
      <c r="C30" s="642" t="str">
        <f>'SC-Retro'!$C$8</f>
        <v>Dairy</v>
      </c>
      <c r="D30" s="642" t="s">
        <v>804</v>
      </c>
      <c r="E30" s="642" t="str">
        <f>INDEX([1]MLIST!A$10:B$42,MATCH($I30,[1]MLIST!$B$10:$B$42,0),1)</f>
        <v>Lighting</v>
      </c>
      <c r="F30" s="643">
        <f t="shared" si="1"/>
        <v>5.3639795134547634E-4</v>
      </c>
      <c r="G30" s="644">
        <f>'SC-Retro'!A127</f>
        <v>3.0449198475183858</v>
      </c>
      <c r="H30" s="644">
        <f>'SC-Retro'!B127</f>
        <v>3.9511787212703759</v>
      </c>
      <c r="I30" s="637" t="str">
        <f>'SC-Retro'!C127</f>
        <v>Energy Efficient Lighting</v>
      </c>
      <c r="J30" s="648" t="str">
        <f>'SC-Retro'!D127</f>
        <v>Washington TieStall</v>
      </c>
      <c r="K30" s="646">
        <f>'SC-Retro'!E127</f>
        <v>9.8048102313161219E-5</v>
      </c>
      <c r="L30" s="646">
        <f>'SC-Retro'!F127</f>
        <v>1.2038743274742463E-4</v>
      </c>
      <c r="M30" s="646">
        <f>'SC-Retro'!G127</f>
        <v>1.4731898721297086E-4</v>
      </c>
      <c r="N30" s="646">
        <f>'SC-Retro'!H127</f>
        <v>1.7101413194156026E-4</v>
      </c>
      <c r="O30" s="646">
        <f>'SC-Retro'!I127</f>
        <v>1.9506327350127931E-4</v>
      </c>
      <c r="P30" s="646">
        <f>'SC-Retro'!J127</f>
        <v>2.2805241389005929E-4</v>
      </c>
      <c r="Q30" s="646">
        <f>'SC-Retro'!K127</f>
        <v>2.5017703957917346E-4</v>
      </c>
      <c r="R30" s="646">
        <f>'SC-Retro'!L127</f>
        <v>2.5557351767266232E-4</v>
      </c>
      <c r="S30" s="646">
        <f>'SC-Retro'!M127</f>
        <v>2.4084736879825168E-4</v>
      </c>
      <c r="T30" s="646">
        <f>'SC-Retro'!N127</f>
        <v>2.0702871396144771E-4</v>
      </c>
      <c r="U30" s="646">
        <f>'SC-Retro'!O127</f>
        <v>1.6020755966994856E-4</v>
      </c>
      <c r="V30" s="646">
        <f>'SC-Retro'!P127</f>
        <v>1.099469473106252E-4</v>
      </c>
      <c r="W30" s="646">
        <f>'SC-Retro'!Q127</f>
        <v>6.5793091806143957E-5</v>
      </c>
      <c r="X30" s="646">
        <f>'SC-Retro'!R127</f>
        <v>3.3687423826011821E-5</v>
      </c>
      <c r="Y30" s="646">
        <f>'SC-Retro'!S127</f>
        <v>1.4453052703273217E-5</v>
      </c>
      <c r="Z30" s="646">
        <f>'SC-Retro'!T127</f>
        <v>5.0776551983998682E-6</v>
      </c>
      <c r="AA30" s="646">
        <f>'SC-Retro'!U127</f>
        <v>1.4244565563156096E-6</v>
      </c>
      <c r="AB30" s="646">
        <f>'SC-Retro'!V127</f>
        <v>3.1046685085461649E-7</v>
      </c>
      <c r="AC30" s="646">
        <f>'SC-Retro'!W127</f>
        <v>5.1032068590159299E-8</v>
      </c>
      <c r="AD30" s="646">
        <f>'SC-Retro'!X127</f>
        <v>6.1255856915076038E-9</v>
      </c>
      <c r="AE30" s="646">
        <f>'SC-Retro'!Y127</f>
        <v>2.2801884258874701E-3</v>
      </c>
      <c r="AF30" s="647">
        <f t="shared" si="2"/>
        <v>0.18333752840942297</v>
      </c>
      <c r="AG30" s="647">
        <f t="shared" si="3"/>
        <v>0.16592347912039981</v>
      </c>
      <c r="AH30" s="647">
        <f t="shared" si="4"/>
        <v>0.19318449776440541</v>
      </c>
      <c r="AI30" s="647">
        <f t="shared" si="5"/>
        <v>0.17964715016625954</v>
      </c>
      <c r="AJ30" s="647">
        <f t="shared" si="6"/>
        <v>0.18375050207065927</v>
      </c>
      <c r="AK30" s="647">
        <f t="shared" si="7"/>
        <v>0.17941070895254463</v>
      </c>
      <c r="AL30" s="647">
        <f t="shared" si="8"/>
        <v>0.17064381902397849</v>
      </c>
      <c r="AM30" s="647">
        <f t="shared" si="9"/>
        <v>0.18319961533139134</v>
      </c>
      <c r="AN30" s="647">
        <f t="shared" si="10"/>
        <v>0.16864684499917862</v>
      </c>
      <c r="AO30" s="647">
        <f t="shared" si="11"/>
        <v>0.19135806705873457</v>
      </c>
      <c r="AP30" s="647">
        <f t="shared" si="12"/>
        <v>0.17084650189576633</v>
      </c>
      <c r="AQ30" s="647">
        <f t="shared" si="13"/>
        <v>0.18096578199425445</v>
      </c>
      <c r="AR30" s="647"/>
      <c r="AS30" s="647">
        <f t="shared" si="14"/>
        <v>8.242895176955245E-2</v>
      </c>
      <c r="AT30" s="647">
        <f t="shared" si="15"/>
        <v>7.1539897335657465E-2</v>
      </c>
      <c r="AU30" s="647">
        <f t="shared" si="16"/>
        <v>7.0164469329157875E-2</v>
      </c>
      <c r="AV30" s="647">
        <f t="shared" si="17"/>
        <v>7.2869417745288489E-2</v>
      </c>
      <c r="AW30" s="647">
        <f t="shared" si="18"/>
        <v>7.3539717357862924E-2</v>
      </c>
      <c r="AX30" s="647">
        <f t="shared" si="19"/>
        <v>6.7101501624347415E-2</v>
      </c>
      <c r="AY30" s="647">
        <f t="shared" si="20"/>
        <v>7.8776395419651382E-2</v>
      </c>
      <c r="AZ30" s="647">
        <f t="shared" si="21"/>
        <v>6.7750749859474282E-2</v>
      </c>
      <c r="BA30" s="647">
        <f t="shared" si="22"/>
        <v>7.8993309965400327E-2</v>
      </c>
      <c r="BB30" s="647">
        <f t="shared" si="23"/>
        <v>6.856373206961057E-2</v>
      </c>
      <c r="BC30" s="647">
        <f t="shared" si="24"/>
        <v>8.0102996826257503E-2</v>
      </c>
      <c r="BD30" s="647">
        <f t="shared" si="25"/>
        <v>8.2174211429129451E-2</v>
      </c>
    </row>
    <row r="31" spans="1:56" ht="15">
      <c r="A31" s="642"/>
      <c r="B31" s="642"/>
      <c r="C31" s="642"/>
      <c r="D31" s="642"/>
      <c r="E31" s="642"/>
      <c r="F31" s="643"/>
      <c r="G31" s="644"/>
      <c r="H31" s="644"/>
      <c r="J31" s="648"/>
      <c r="K31" s="646"/>
      <c r="L31" s="646"/>
      <c r="M31" s="646"/>
      <c r="N31" s="646"/>
      <c r="O31" s="646"/>
      <c r="P31" s="646"/>
      <c r="Q31" s="646"/>
      <c r="R31" s="646"/>
      <c r="S31" s="646"/>
      <c r="T31" s="646"/>
      <c r="U31" s="646"/>
      <c r="V31" s="646"/>
      <c r="W31" s="646"/>
      <c r="X31" s="646"/>
      <c r="Y31" s="646"/>
      <c r="Z31" s="646"/>
      <c r="AA31" s="646"/>
      <c r="AB31" s="646"/>
      <c r="AC31" s="646"/>
      <c r="AD31" s="646"/>
      <c r="AE31" s="646"/>
      <c r="AF31" s="647"/>
      <c r="AG31" s="647"/>
      <c r="AH31" s="647"/>
      <c r="AI31" s="647"/>
      <c r="AJ31" s="647"/>
      <c r="AK31" s="647"/>
      <c r="AL31" s="647"/>
      <c r="AM31" s="647"/>
      <c r="AN31" s="647"/>
      <c r="AO31" s="647"/>
      <c r="AP31" s="647"/>
      <c r="AQ31" s="647"/>
      <c r="AR31" s="647"/>
      <c r="AS31" s="647"/>
      <c r="AT31" s="647"/>
      <c r="AU31" s="647"/>
      <c r="AV31" s="647"/>
      <c r="AW31" s="647"/>
      <c r="AX31" s="647"/>
      <c r="AY31" s="647"/>
      <c r="AZ31" s="647"/>
      <c r="BA31" s="647"/>
      <c r="BB31" s="647"/>
      <c r="BC31" s="647"/>
      <c r="BD31" s="647"/>
    </row>
    <row r="32" spans="1:56" ht="15">
      <c r="A32" s="642"/>
      <c r="B32" s="642"/>
      <c r="C32" s="642"/>
      <c r="D32" s="642"/>
      <c r="E32" s="642"/>
      <c r="F32" s="643"/>
      <c r="G32" s="644"/>
      <c r="H32" s="644"/>
      <c r="J32" s="648"/>
      <c r="K32" s="646"/>
      <c r="L32" s="646"/>
      <c r="M32" s="646"/>
      <c r="N32" s="646"/>
      <c r="O32" s="646"/>
      <c r="P32" s="646"/>
      <c r="Q32" s="646"/>
      <c r="R32" s="646"/>
      <c r="S32" s="646"/>
      <c r="T32" s="646"/>
      <c r="U32" s="646"/>
      <c r="V32" s="646"/>
      <c r="W32" s="646"/>
      <c r="X32" s="646"/>
      <c r="Y32" s="646"/>
      <c r="Z32" s="646"/>
      <c r="AA32" s="646"/>
      <c r="AB32" s="646"/>
      <c r="AC32" s="646"/>
      <c r="AD32" s="646"/>
      <c r="AE32" s="646"/>
      <c r="AF32" s="647"/>
      <c r="AG32" s="647"/>
      <c r="AH32" s="647"/>
      <c r="AI32" s="647"/>
      <c r="AJ32" s="647"/>
      <c r="AK32" s="647"/>
      <c r="AL32" s="647"/>
      <c r="AM32" s="647"/>
      <c r="AN32" s="647"/>
      <c r="AO32" s="647"/>
      <c r="AP32" s="647"/>
      <c r="AQ32" s="647"/>
      <c r="AR32" s="647"/>
      <c r="AS32" s="647"/>
      <c r="AT32" s="647"/>
      <c r="AU32" s="647"/>
      <c r="AV32" s="647"/>
      <c r="AW32" s="647"/>
      <c r="AX32" s="647"/>
      <c r="AY32" s="647"/>
      <c r="AZ32" s="647"/>
      <c r="BA32" s="647"/>
      <c r="BB32" s="647"/>
      <c r="BC32" s="647"/>
      <c r="BD32" s="647"/>
    </row>
    <row r="33" spans="1:56" ht="15">
      <c r="A33" s="642"/>
      <c r="B33" s="642"/>
      <c r="C33" s="642"/>
      <c r="D33" s="642"/>
      <c r="E33" s="642"/>
      <c r="F33" s="643"/>
      <c r="G33" s="644"/>
      <c r="H33" s="644"/>
      <c r="K33" s="646"/>
      <c r="L33" s="646"/>
      <c r="M33" s="646"/>
      <c r="N33" s="646"/>
      <c r="O33" s="646"/>
      <c r="P33" s="646"/>
      <c r="Q33" s="646"/>
      <c r="R33" s="646"/>
      <c r="S33" s="646"/>
      <c r="T33" s="646"/>
      <c r="U33" s="646"/>
      <c r="V33" s="646"/>
      <c r="W33" s="646"/>
      <c r="X33" s="646"/>
      <c r="Y33" s="646"/>
      <c r="Z33" s="646"/>
      <c r="AA33" s="646"/>
      <c r="AB33" s="646"/>
      <c r="AC33" s="646"/>
      <c r="AD33" s="646"/>
      <c r="AE33" s="646"/>
      <c r="AF33" s="647"/>
      <c r="AG33" s="647"/>
      <c r="AH33" s="647"/>
      <c r="AI33" s="647"/>
      <c r="AJ33" s="647"/>
      <c r="AK33" s="647"/>
      <c r="AL33" s="647"/>
      <c r="AM33" s="647"/>
      <c r="AN33" s="647"/>
      <c r="AO33" s="647"/>
      <c r="AP33" s="647"/>
      <c r="AQ33" s="647"/>
      <c r="AR33" s="647"/>
      <c r="AS33" s="647"/>
      <c r="AT33" s="647"/>
      <c r="AU33" s="647"/>
      <c r="AV33" s="647"/>
      <c r="AW33" s="647"/>
      <c r="AX33" s="647"/>
      <c r="AY33" s="647"/>
      <c r="AZ33" s="647"/>
      <c r="BA33" s="647"/>
      <c r="BB33" s="647"/>
      <c r="BC33" s="647"/>
      <c r="BD33" s="647"/>
    </row>
    <row r="34" spans="1:56" ht="15">
      <c r="A34" s="642"/>
      <c r="B34" s="642"/>
      <c r="C34" s="642"/>
      <c r="D34" s="642"/>
      <c r="E34" s="642"/>
      <c r="F34" s="643"/>
      <c r="G34" s="644"/>
      <c r="H34" s="644"/>
      <c r="K34" s="646"/>
      <c r="L34" s="646"/>
      <c r="M34" s="646"/>
      <c r="N34" s="646"/>
      <c r="O34" s="646"/>
      <c r="P34" s="646"/>
      <c r="Q34" s="646"/>
      <c r="R34" s="646"/>
      <c r="S34" s="646"/>
      <c r="T34" s="646"/>
      <c r="U34" s="646"/>
      <c r="V34" s="646"/>
      <c r="W34" s="646"/>
      <c r="X34" s="646"/>
      <c r="Y34" s="646"/>
      <c r="Z34" s="646"/>
      <c r="AA34" s="646"/>
      <c r="AB34" s="646"/>
      <c r="AC34" s="646"/>
      <c r="AD34" s="646"/>
      <c r="AE34" s="646"/>
      <c r="AF34" s="647"/>
      <c r="AG34" s="647"/>
      <c r="AH34" s="647"/>
      <c r="AI34" s="647"/>
      <c r="AJ34" s="647"/>
      <c r="AK34" s="647"/>
      <c r="AL34" s="647"/>
      <c r="AM34" s="647"/>
      <c r="AN34" s="647"/>
      <c r="AO34" s="647"/>
      <c r="AP34" s="647"/>
      <c r="AQ34" s="647"/>
      <c r="AR34" s="647"/>
      <c r="AS34" s="647"/>
      <c r="AT34" s="647"/>
      <c r="AU34" s="647"/>
      <c r="AV34" s="647"/>
      <c r="AW34" s="647"/>
      <c r="AX34" s="647"/>
      <c r="AY34" s="647"/>
      <c r="AZ34" s="647"/>
      <c r="BA34" s="647"/>
      <c r="BB34" s="647"/>
      <c r="BC34" s="647"/>
      <c r="BD34" s="647"/>
    </row>
    <row r="35" spans="1:56" ht="15">
      <c r="A35" s="642"/>
      <c r="B35" s="642"/>
      <c r="C35" s="642"/>
      <c r="D35" s="642"/>
      <c r="E35" s="642"/>
      <c r="F35" s="643"/>
      <c r="G35" s="644"/>
      <c r="H35" s="644"/>
      <c r="K35" s="646"/>
      <c r="L35" s="646"/>
      <c r="M35" s="646"/>
      <c r="N35" s="646"/>
      <c r="O35" s="646"/>
      <c r="P35" s="646"/>
      <c r="Q35" s="646"/>
      <c r="R35" s="646"/>
      <c r="S35" s="646"/>
      <c r="T35" s="646"/>
      <c r="U35" s="646"/>
      <c r="V35" s="646"/>
      <c r="W35" s="646"/>
      <c r="X35" s="646"/>
      <c r="Y35" s="646"/>
      <c r="Z35" s="646"/>
      <c r="AA35" s="646"/>
      <c r="AB35" s="646"/>
      <c r="AC35" s="646"/>
      <c r="AD35" s="646"/>
      <c r="AE35" s="646"/>
      <c r="AF35" s="647"/>
      <c r="AG35" s="647"/>
      <c r="AH35" s="647"/>
      <c r="AI35" s="647"/>
      <c r="AJ35" s="647"/>
      <c r="AK35" s="647"/>
      <c r="AL35" s="647"/>
      <c r="AM35" s="647"/>
      <c r="AN35" s="647"/>
      <c r="AO35" s="647"/>
      <c r="AP35" s="647"/>
      <c r="AQ35" s="647"/>
      <c r="AR35" s="647"/>
      <c r="AS35" s="647"/>
      <c r="AT35" s="647"/>
      <c r="AU35" s="647"/>
      <c r="AV35" s="647"/>
      <c r="AW35" s="647"/>
      <c r="AX35" s="647"/>
      <c r="AY35" s="647"/>
      <c r="AZ35" s="647"/>
      <c r="BA35" s="647"/>
      <c r="BB35" s="647"/>
      <c r="BC35" s="647"/>
      <c r="BD35" s="647"/>
    </row>
    <row r="36" spans="1:56" ht="15">
      <c r="A36" s="642"/>
      <c r="B36" s="642"/>
      <c r="C36" s="642"/>
      <c r="D36" s="642"/>
      <c r="E36" s="642"/>
      <c r="F36" s="643"/>
      <c r="G36" s="644"/>
      <c r="H36" s="644"/>
      <c r="K36" s="646"/>
      <c r="L36" s="646"/>
      <c r="M36" s="646"/>
      <c r="N36" s="646"/>
      <c r="O36" s="646"/>
      <c r="P36" s="646"/>
      <c r="Q36" s="646"/>
      <c r="R36" s="646"/>
      <c r="S36" s="646"/>
      <c r="T36" s="646"/>
      <c r="U36" s="646"/>
      <c r="V36" s="646"/>
      <c r="W36" s="646"/>
      <c r="X36" s="646"/>
      <c r="Y36" s="646"/>
      <c r="Z36" s="646"/>
      <c r="AA36" s="646"/>
      <c r="AB36" s="646"/>
      <c r="AC36" s="646"/>
      <c r="AD36" s="646"/>
      <c r="AE36" s="646"/>
      <c r="AF36" s="647"/>
      <c r="AG36" s="647"/>
      <c r="AH36" s="647"/>
      <c r="AI36" s="647"/>
      <c r="AJ36" s="647"/>
      <c r="AK36" s="647"/>
      <c r="AL36" s="647"/>
      <c r="AM36" s="647"/>
      <c r="AN36" s="647"/>
      <c r="AO36" s="647"/>
      <c r="AP36" s="647"/>
      <c r="AQ36" s="647"/>
      <c r="AR36" s="647"/>
      <c r="AS36" s="647"/>
      <c r="AT36" s="647"/>
      <c r="AU36" s="647"/>
      <c r="AV36" s="647"/>
      <c r="AW36" s="647"/>
      <c r="AX36" s="647"/>
      <c r="AY36" s="647"/>
      <c r="AZ36" s="647"/>
      <c r="BA36" s="647"/>
      <c r="BB36" s="647"/>
      <c r="BC36" s="647"/>
      <c r="BD36" s="647"/>
    </row>
    <row r="37" spans="1:56" ht="15">
      <c r="A37" s="642"/>
      <c r="B37" s="642"/>
      <c r="C37" s="642"/>
      <c r="D37" s="642"/>
      <c r="E37" s="642"/>
      <c r="F37" s="643"/>
      <c r="G37" s="644"/>
      <c r="H37" s="644"/>
      <c r="K37" s="646"/>
      <c r="L37" s="646"/>
      <c r="M37" s="646"/>
      <c r="N37" s="646"/>
      <c r="O37" s="646"/>
      <c r="P37" s="646"/>
      <c r="Q37" s="646"/>
      <c r="R37" s="646"/>
      <c r="S37" s="646"/>
      <c r="T37" s="646"/>
      <c r="U37" s="646"/>
      <c r="V37" s="646"/>
      <c r="W37" s="646"/>
      <c r="X37" s="646"/>
      <c r="Y37" s="646"/>
      <c r="Z37" s="646"/>
      <c r="AA37" s="646"/>
      <c r="AB37" s="646"/>
      <c r="AC37" s="646"/>
      <c r="AD37" s="646"/>
      <c r="AE37" s="646"/>
      <c r="AF37" s="647"/>
      <c r="AG37" s="647"/>
      <c r="AH37" s="647"/>
      <c r="AI37" s="647"/>
      <c r="AJ37" s="647"/>
      <c r="AK37" s="647"/>
      <c r="AL37" s="647"/>
      <c r="AM37" s="647"/>
      <c r="AN37" s="647"/>
      <c r="AO37" s="647"/>
      <c r="AP37" s="647"/>
      <c r="AQ37" s="647"/>
      <c r="AR37" s="647"/>
      <c r="AS37" s="647"/>
      <c r="AT37" s="647"/>
      <c r="AU37" s="647"/>
      <c r="AV37" s="647"/>
      <c r="AW37" s="647"/>
      <c r="AX37" s="647"/>
      <c r="AY37" s="647"/>
      <c r="AZ37" s="647"/>
      <c r="BA37" s="647"/>
      <c r="BB37" s="647"/>
      <c r="BC37" s="647"/>
      <c r="BD37" s="647"/>
    </row>
    <row r="38" spans="1:56" ht="15">
      <c r="A38" s="642"/>
      <c r="B38" s="642"/>
      <c r="C38" s="642"/>
      <c r="D38" s="642"/>
      <c r="E38" s="642"/>
      <c r="F38" s="643"/>
      <c r="G38" s="644"/>
      <c r="H38" s="644"/>
      <c r="K38" s="646"/>
      <c r="L38" s="646"/>
      <c r="M38" s="646"/>
      <c r="N38" s="646"/>
      <c r="O38" s="646"/>
      <c r="P38" s="646"/>
      <c r="Q38" s="646"/>
      <c r="R38" s="646"/>
      <c r="S38" s="646"/>
      <c r="T38" s="646"/>
      <c r="U38" s="646"/>
      <c r="V38" s="646"/>
      <c r="W38" s="646"/>
      <c r="X38" s="646"/>
      <c r="Y38" s="646"/>
      <c r="Z38" s="646"/>
      <c r="AA38" s="646"/>
      <c r="AB38" s="646"/>
      <c r="AC38" s="646"/>
      <c r="AD38" s="646"/>
      <c r="AE38" s="646"/>
      <c r="AF38" s="647"/>
      <c r="AG38" s="647"/>
      <c r="AH38" s="647"/>
      <c r="AI38" s="647"/>
      <c r="AJ38" s="647"/>
      <c r="AK38" s="647"/>
      <c r="AL38" s="647"/>
      <c r="AM38" s="647"/>
      <c r="AN38" s="647"/>
      <c r="AO38" s="647"/>
      <c r="AP38" s="647"/>
      <c r="AQ38" s="647"/>
      <c r="AR38" s="647"/>
      <c r="AS38" s="647"/>
      <c r="AT38" s="647"/>
      <c r="AU38" s="647"/>
      <c r="AV38" s="647"/>
      <c r="AW38" s="647"/>
      <c r="AX38" s="647"/>
      <c r="AY38" s="647"/>
      <c r="AZ38" s="647"/>
      <c r="BA38" s="647"/>
      <c r="BB38" s="647"/>
      <c r="BC38" s="647"/>
      <c r="BD38" s="647"/>
    </row>
    <row r="39" spans="1:56" ht="15">
      <c r="A39" s="642"/>
      <c r="B39" s="642"/>
      <c r="C39" s="642"/>
      <c r="D39" s="642"/>
      <c r="E39" s="642"/>
      <c r="F39" s="643"/>
      <c r="G39" s="644"/>
      <c r="H39" s="644"/>
      <c r="K39" s="646"/>
      <c r="L39" s="646"/>
      <c r="M39" s="646"/>
      <c r="N39" s="646"/>
      <c r="O39" s="646"/>
      <c r="P39" s="646"/>
      <c r="Q39" s="646"/>
      <c r="R39" s="646"/>
      <c r="S39" s="646"/>
      <c r="T39" s="646"/>
      <c r="U39" s="646"/>
      <c r="V39" s="646"/>
      <c r="W39" s="646"/>
      <c r="X39" s="646"/>
      <c r="Y39" s="646"/>
      <c r="Z39" s="646"/>
      <c r="AA39" s="646"/>
      <c r="AB39" s="646"/>
      <c r="AC39" s="646"/>
      <c r="AD39" s="646"/>
      <c r="AE39" s="646"/>
      <c r="AF39" s="647"/>
      <c r="AG39" s="647"/>
      <c r="AH39" s="647"/>
      <c r="AI39" s="647"/>
      <c r="AJ39" s="647"/>
      <c r="AK39" s="647"/>
      <c r="AL39" s="647"/>
      <c r="AM39" s="647"/>
      <c r="AN39" s="647"/>
      <c r="AO39" s="647"/>
      <c r="AP39" s="647"/>
      <c r="AQ39" s="647"/>
      <c r="AR39" s="647"/>
      <c r="AS39" s="647"/>
      <c r="AT39" s="647"/>
      <c r="AU39" s="647"/>
      <c r="AV39" s="647"/>
      <c r="AW39" s="647"/>
      <c r="AX39" s="647"/>
      <c r="AY39" s="647"/>
      <c r="AZ39" s="647"/>
      <c r="BA39" s="647"/>
      <c r="BB39" s="647"/>
      <c r="BC39" s="647"/>
      <c r="BD39" s="647"/>
    </row>
    <row r="40" spans="1:56" ht="15">
      <c r="A40" s="642"/>
      <c r="B40" s="642"/>
      <c r="C40" s="642"/>
      <c r="D40" s="642"/>
      <c r="E40" s="642"/>
      <c r="F40" s="643"/>
      <c r="G40" s="644"/>
      <c r="H40" s="644"/>
      <c r="K40" s="646"/>
      <c r="L40" s="646"/>
      <c r="M40" s="646"/>
      <c r="N40" s="646"/>
      <c r="O40" s="646"/>
      <c r="P40" s="646"/>
      <c r="Q40" s="646"/>
      <c r="R40" s="646"/>
      <c r="S40" s="646"/>
      <c r="T40" s="646"/>
      <c r="U40" s="646"/>
      <c r="V40" s="646"/>
      <c r="W40" s="646"/>
      <c r="X40" s="646"/>
      <c r="Y40" s="646"/>
      <c r="Z40" s="646"/>
      <c r="AA40" s="646"/>
      <c r="AB40" s="646"/>
      <c r="AC40" s="646"/>
      <c r="AD40" s="646"/>
      <c r="AE40" s="646"/>
      <c r="AF40" s="647"/>
      <c r="AG40" s="647"/>
      <c r="AH40" s="647"/>
      <c r="AI40" s="647"/>
      <c r="AJ40" s="647"/>
      <c r="AK40" s="647"/>
      <c r="AL40" s="647"/>
      <c r="AM40" s="647"/>
      <c r="AN40" s="647"/>
      <c r="AO40" s="647"/>
      <c r="AP40" s="647"/>
      <c r="AQ40" s="647"/>
      <c r="AR40" s="647"/>
      <c r="AS40" s="647"/>
      <c r="AT40" s="647"/>
      <c r="AU40" s="647"/>
      <c r="AV40" s="647"/>
      <c r="AW40" s="647"/>
      <c r="AX40" s="647"/>
      <c r="AY40" s="647"/>
      <c r="AZ40" s="647"/>
      <c r="BA40" s="647"/>
      <c r="BB40" s="647"/>
      <c r="BC40" s="647"/>
      <c r="BD40" s="647"/>
    </row>
    <row r="41" spans="1:56" ht="15">
      <c r="A41" s="642"/>
      <c r="B41" s="642"/>
      <c r="C41" s="642"/>
      <c r="D41" s="642"/>
      <c r="E41" s="642"/>
      <c r="F41" s="643"/>
      <c r="G41" s="644"/>
      <c r="H41" s="644"/>
      <c r="K41" s="646"/>
      <c r="L41" s="646"/>
      <c r="M41" s="646"/>
      <c r="N41" s="646"/>
      <c r="O41" s="646"/>
      <c r="P41" s="646"/>
      <c r="Q41" s="646"/>
      <c r="R41" s="646"/>
      <c r="S41" s="646"/>
      <c r="T41" s="646"/>
      <c r="U41" s="646"/>
      <c r="V41" s="646"/>
      <c r="W41" s="646"/>
      <c r="X41" s="646"/>
      <c r="Y41" s="646"/>
      <c r="Z41" s="646"/>
      <c r="AA41" s="646"/>
      <c r="AB41" s="646"/>
      <c r="AC41" s="646"/>
      <c r="AD41" s="646"/>
      <c r="AE41" s="646"/>
      <c r="AF41" s="647"/>
      <c r="AG41" s="647"/>
      <c r="AH41" s="647"/>
      <c r="AI41" s="647"/>
      <c r="AJ41" s="647"/>
      <c r="AK41" s="647"/>
      <c r="AL41" s="647"/>
      <c r="AM41" s="647"/>
      <c r="AN41" s="647"/>
      <c r="AO41" s="647"/>
      <c r="AP41" s="647"/>
      <c r="AQ41" s="647"/>
      <c r="AR41" s="647"/>
      <c r="AS41" s="647"/>
      <c r="AT41" s="647"/>
      <c r="AU41" s="647"/>
      <c r="AV41" s="647"/>
      <c r="AW41" s="647"/>
      <c r="AX41" s="647"/>
      <c r="AY41" s="647"/>
      <c r="AZ41" s="647"/>
      <c r="BA41" s="647"/>
      <c r="BB41" s="647"/>
      <c r="BC41" s="647"/>
      <c r="BD41" s="647"/>
    </row>
    <row r="42" spans="1:56" ht="15">
      <c r="A42" s="642"/>
      <c r="B42" s="642"/>
      <c r="C42" s="642"/>
      <c r="D42" s="642"/>
      <c r="E42" s="642"/>
      <c r="F42" s="643"/>
      <c r="G42" s="644"/>
      <c r="H42" s="644"/>
      <c r="K42" s="646"/>
      <c r="L42" s="646"/>
      <c r="M42" s="646"/>
      <c r="N42" s="646"/>
      <c r="O42" s="646"/>
      <c r="P42" s="646"/>
      <c r="Q42" s="646"/>
      <c r="R42" s="646"/>
      <c r="S42" s="646"/>
      <c r="T42" s="646"/>
      <c r="U42" s="646"/>
      <c r="V42" s="646"/>
      <c r="W42" s="646"/>
      <c r="X42" s="646"/>
      <c r="Y42" s="646"/>
      <c r="Z42" s="646"/>
      <c r="AA42" s="646"/>
      <c r="AB42" s="646"/>
      <c r="AC42" s="646"/>
      <c r="AD42" s="646"/>
      <c r="AE42" s="646"/>
      <c r="AF42" s="647"/>
      <c r="AG42" s="647"/>
      <c r="AH42" s="647"/>
      <c r="AI42" s="647"/>
      <c r="AJ42" s="647"/>
      <c r="AK42" s="647"/>
      <c r="AL42" s="647"/>
      <c r="AM42" s="647"/>
      <c r="AN42" s="647"/>
      <c r="AO42" s="647"/>
      <c r="AP42" s="647"/>
      <c r="AQ42" s="647"/>
      <c r="AR42" s="647"/>
      <c r="AS42" s="647"/>
      <c r="AT42" s="647"/>
      <c r="AU42" s="647"/>
      <c r="AV42" s="647"/>
      <c r="AW42" s="647"/>
      <c r="AX42" s="647"/>
      <c r="AY42" s="647"/>
      <c r="AZ42" s="647"/>
      <c r="BA42" s="647"/>
      <c r="BB42" s="647"/>
      <c r="BC42" s="647"/>
      <c r="BD42" s="647"/>
    </row>
    <row r="43" spans="1:56" ht="15">
      <c r="A43" s="642"/>
      <c r="B43" s="642"/>
      <c r="C43" s="642"/>
      <c r="D43" s="642"/>
      <c r="E43" s="642"/>
      <c r="F43" s="643"/>
      <c r="G43" s="644"/>
      <c r="H43" s="644"/>
      <c r="K43" s="646"/>
      <c r="L43" s="646"/>
      <c r="M43" s="646"/>
      <c r="N43" s="646"/>
      <c r="O43" s="646"/>
      <c r="P43" s="646"/>
      <c r="Q43" s="646"/>
      <c r="R43" s="646"/>
      <c r="S43" s="646"/>
      <c r="T43" s="646"/>
      <c r="U43" s="646"/>
      <c r="V43" s="646"/>
      <c r="W43" s="646"/>
      <c r="X43" s="646"/>
      <c r="Y43" s="646"/>
      <c r="Z43" s="646"/>
      <c r="AA43" s="646"/>
      <c r="AB43" s="646"/>
      <c r="AC43" s="646"/>
      <c r="AD43" s="646"/>
      <c r="AE43" s="646"/>
      <c r="AF43" s="647"/>
      <c r="AG43" s="647"/>
      <c r="AH43" s="647"/>
      <c r="AI43" s="647"/>
      <c r="AJ43" s="647"/>
      <c r="AK43" s="647"/>
      <c r="AL43" s="647"/>
      <c r="AM43" s="647"/>
      <c r="AN43" s="647"/>
      <c r="AO43" s="647"/>
      <c r="AP43" s="647"/>
      <c r="AQ43" s="647"/>
      <c r="AR43" s="647"/>
      <c r="AS43" s="647"/>
      <c r="AT43" s="647"/>
      <c r="AU43" s="647"/>
      <c r="AV43" s="647"/>
      <c r="AW43" s="647"/>
      <c r="AX43" s="647"/>
      <c r="AY43" s="647"/>
      <c r="AZ43" s="647"/>
      <c r="BA43" s="647"/>
      <c r="BB43" s="647"/>
      <c r="BC43" s="647"/>
      <c r="BD43" s="647"/>
    </row>
    <row r="44" spans="1:56" ht="15">
      <c r="A44" s="642"/>
      <c r="B44" s="642"/>
      <c r="C44" s="642"/>
      <c r="D44" s="642"/>
      <c r="E44" s="642"/>
      <c r="F44" s="643"/>
      <c r="G44" s="644"/>
      <c r="H44" s="644"/>
      <c r="K44" s="646"/>
      <c r="L44" s="646"/>
      <c r="M44" s="646"/>
      <c r="N44" s="646"/>
      <c r="O44" s="646"/>
      <c r="P44" s="646"/>
      <c r="Q44" s="646"/>
      <c r="R44" s="646"/>
      <c r="S44" s="646"/>
      <c r="T44" s="646"/>
      <c r="U44" s="646"/>
      <c r="V44" s="646"/>
      <c r="W44" s="646"/>
      <c r="X44" s="646"/>
      <c r="Y44" s="646"/>
      <c r="Z44" s="646"/>
      <c r="AA44" s="646"/>
      <c r="AB44" s="646"/>
      <c r="AC44" s="646"/>
      <c r="AD44" s="646"/>
      <c r="AE44" s="646"/>
      <c r="AF44" s="647"/>
      <c r="AG44" s="647"/>
      <c r="AH44" s="647"/>
      <c r="AI44" s="647"/>
      <c r="AJ44" s="647"/>
      <c r="AK44" s="647"/>
      <c r="AL44" s="647"/>
      <c r="AM44" s="647"/>
      <c r="AN44" s="647"/>
      <c r="AO44" s="647"/>
      <c r="AP44" s="647"/>
      <c r="AQ44" s="647"/>
      <c r="AR44" s="647"/>
      <c r="AS44" s="647"/>
      <c r="AT44" s="647"/>
      <c r="AU44" s="647"/>
      <c r="AV44" s="647"/>
      <c r="AW44" s="647"/>
      <c r="AX44" s="647"/>
      <c r="AY44" s="647"/>
      <c r="AZ44" s="647"/>
      <c r="BA44" s="647"/>
      <c r="BB44" s="647"/>
      <c r="BC44" s="647"/>
      <c r="BD44" s="647"/>
    </row>
    <row r="45" spans="1:56" ht="15">
      <c r="A45" s="642"/>
      <c r="B45" s="642"/>
      <c r="C45" s="642"/>
      <c r="D45" s="642"/>
      <c r="E45" s="642"/>
      <c r="F45" s="643"/>
      <c r="G45" s="644"/>
      <c r="H45" s="644"/>
      <c r="K45" s="646"/>
      <c r="L45" s="646"/>
      <c r="M45" s="646"/>
      <c r="N45" s="646"/>
      <c r="O45" s="646"/>
      <c r="P45" s="646"/>
      <c r="Q45" s="646"/>
      <c r="R45" s="646"/>
      <c r="S45" s="646"/>
      <c r="T45" s="646"/>
      <c r="U45" s="646"/>
      <c r="V45" s="646"/>
      <c r="W45" s="646"/>
      <c r="X45" s="646"/>
      <c r="Y45" s="646"/>
      <c r="Z45" s="646"/>
      <c r="AA45" s="646"/>
      <c r="AB45" s="646"/>
      <c r="AC45" s="646"/>
      <c r="AD45" s="646"/>
      <c r="AE45" s="646"/>
      <c r="AF45" s="647"/>
      <c r="AG45" s="647"/>
      <c r="AH45" s="647"/>
      <c r="AI45" s="647"/>
      <c r="AJ45" s="647"/>
      <c r="AK45" s="647"/>
      <c r="AL45" s="647"/>
      <c r="AM45" s="647"/>
      <c r="AN45" s="647"/>
      <c r="AO45" s="647"/>
      <c r="AP45" s="647"/>
      <c r="AQ45" s="647"/>
      <c r="AR45" s="647"/>
      <c r="AS45" s="647"/>
      <c r="AT45" s="647"/>
      <c r="AU45" s="647"/>
      <c r="AV45" s="647"/>
      <c r="AW45" s="647"/>
      <c r="AX45" s="647"/>
      <c r="AY45" s="647"/>
      <c r="AZ45" s="647"/>
      <c r="BA45" s="647"/>
      <c r="BB45" s="647"/>
      <c r="BC45" s="647"/>
      <c r="BD45" s="647"/>
    </row>
    <row r="46" spans="1:56" ht="15">
      <c r="A46" s="642"/>
      <c r="B46" s="642"/>
      <c r="C46" s="642"/>
      <c r="D46" s="642"/>
      <c r="E46" s="642"/>
      <c r="F46" s="643"/>
      <c r="G46" s="644"/>
      <c r="H46" s="644"/>
      <c r="K46" s="646"/>
      <c r="L46" s="646"/>
      <c r="M46" s="646"/>
      <c r="N46" s="646"/>
      <c r="O46" s="646"/>
      <c r="P46" s="646"/>
      <c r="Q46" s="646"/>
      <c r="R46" s="646"/>
      <c r="S46" s="646"/>
      <c r="T46" s="646"/>
      <c r="U46" s="646"/>
      <c r="V46" s="646"/>
      <c r="W46" s="646"/>
      <c r="X46" s="646"/>
      <c r="Y46" s="646"/>
      <c r="Z46" s="646"/>
      <c r="AA46" s="646"/>
      <c r="AB46" s="646"/>
      <c r="AC46" s="646"/>
      <c r="AD46" s="646"/>
      <c r="AE46" s="646"/>
      <c r="AF46" s="647"/>
      <c r="AG46" s="647"/>
      <c r="AH46" s="647"/>
      <c r="AI46" s="647"/>
      <c r="AJ46" s="647"/>
      <c r="AK46" s="647"/>
      <c r="AL46" s="647"/>
      <c r="AM46" s="647"/>
      <c r="AN46" s="647"/>
      <c r="AO46" s="647"/>
      <c r="AP46" s="647"/>
      <c r="AQ46" s="647"/>
      <c r="AR46" s="647"/>
      <c r="AS46" s="647"/>
      <c r="AT46" s="647"/>
      <c r="AU46" s="647"/>
      <c r="AV46" s="647"/>
      <c r="AW46" s="647"/>
      <c r="AX46" s="647"/>
      <c r="AY46" s="647"/>
      <c r="AZ46" s="647"/>
      <c r="BA46" s="647"/>
      <c r="BB46" s="647"/>
      <c r="BC46" s="647"/>
      <c r="BD46" s="647"/>
    </row>
    <row r="47" spans="1:56" ht="15">
      <c r="A47" s="642"/>
      <c r="B47" s="642"/>
      <c r="C47" s="642"/>
      <c r="D47" s="642"/>
      <c r="E47" s="642"/>
      <c r="F47" s="643"/>
      <c r="G47" s="644"/>
      <c r="H47" s="644"/>
      <c r="K47" s="646"/>
      <c r="L47" s="646"/>
      <c r="M47" s="646"/>
      <c r="N47" s="646"/>
      <c r="O47" s="646"/>
      <c r="P47" s="646"/>
      <c r="Q47" s="646"/>
      <c r="R47" s="646"/>
      <c r="S47" s="646"/>
      <c r="T47" s="646"/>
      <c r="U47" s="646"/>
      <c r="V47" s="646"/>
      <c r="W47" s="646"/>
      <c r="X47" s="646"/>
      <c r="Y47" s="646"/>
      <c r="Z47" s="646"/>
      <c r="AA47" s="646"/>
      <c r="AB47" s="646"/>
      <c r="AC47" s="646"/>
      <c r="AD47" s="646"/>
      <c r="AE47" s="646"/>
      <c r="AF47" s="647"/>
      <c r="AG47" s="647"/>
      <c r="AH47" s="647"/>
      <c r="AI47" s="647"/>
      <c r="AJ47" s="647"/>
      <c r="AK47" s="647"/>
      <c r="AL47" s="647"/>
      <c r="AM47" s="647"/>
      <c r="AN47" s="647"/>
      <c r="AO47" s="647"/>
      <c r="AP47" s="647"/>
      <c r="AQ47" s="647"/>
      <c r="AR47" s="647"/>
      <c r="AS47" s="647"/>
      <c r="AT47" s="647"/>
      <c r="AU47" s="647"/>
      <c r="AV47" s="647"/>
      <c r="AW47" s="647"/>
      <c r="AX47" s="647"/>
      <c r="AY47" s="647"/>
      <c r="AZ47" s="647"/>
      <c r="BA47" s="647"/>
      <c r="BB47" s="647"/>
      <c r="BC47" s="647"/>
      <c r="BD47" s="647"/>
    </row>
    <row r="48" spans="1:56" ht="15">
      <c r="A48" s="642"/>
      <c r="B48" s="642"/>
      <c r="C48" s="642"/>
      <c r="D48" s="642"/>
      <c r="E48" s="642"/>
      <c r="F48" s="643"/>
      <c r="G48" s="644"/>
      <c r="H48" s="644"/>
      <c r="K48" s="646"/>
      <c r="L48" s="646"/>
      <c r="M48" s="646"/>
      <c r="N48" s="646"/>
      <c r="O48" s="646"/>
      <c r="P48" s="646"/>
      <c r="Q48" s="646"/>
      <c r="R48" s="646"/>
      <c r="S48" s="646"/>
      <c r="T48" s="646"/>
      <c r="U48" s="646"/>
      <c r="V48" s="646"/>
      <c r="W48" s="646"/>
      <c r="X48" s="646"/>
      <c r="Y48" s="646"/>
      <c r="Z48" s="646"/>
      <c r="AA48" s="646"/>
      <c r="AB48" s="646"/>
      <c r="AC48" s="646"/>
      <c r="AD48" s="646"/>
      <c r="AE48" s="646"/>
      <c r="AF48" s="647"/>
      <c r="AG48" s="647"/>
      <c r="AH48" s="647"/>
      <c r="AI48" s="647"/>
      <c r="AJ48" s="647"/>
      <c r="AK48" s="647"/>
      <c r="AL48" s="647"/>
      <c r="AM48" s="647"/>
      <c r="AN48" s="647"/>
      <c r="AO48" s="647"/>
      <c r="AP48" s="647"/>
      <c r="AQ48" s="647"/>
      <c r="AR48" s="647"/>
      <c r="AS48" s="647"/>
      <c r="AT48" s="647"/>
      <c r="AU48" s="647"/>
      <c r="AV48" s="647"/>
      <c r="AW48" s="647"/>
      <c r="AX48" s="647"/>
      <c r="AY48" s="647"/>
      <c r="AZ48" s="647"/>
      <c r="BA48" s="647"/>
      <c r="BB48" s="647"/>
      <c r="BC48" s="647"/>
      <c r="BD48" s="647"/>
    </row>
    <row r="49" spans="1:56" ht="15">
      <c r="A49" s="642"/>
      <c r="B49" s="642"/>
      <c r="C49" s="642"/>
      <c r="D49" s="642"/>
      <c r="E49" s="642"/>
      <c r="F49" s="643"/>
      <c r="G49" s="644"/>
      <c r="H49" s="644"/>
      <c r="K49" s="646"/>
      <c r="L49" s="646"/>
      <c r="M49" s="646"/>
      <c r="N49" s="646"/>
      <c r="O49" s="646"/>
      <c r="P49" s="646"/>
      <c r="Q49" s="646"/>
      <c r="R49" s="646"/>
      <c r="S49" s="646"/>
      <c r="T49" s="646"/>
      <c r="U49" s="646"/>
      <c r="V49" s="646"/>
      <c r="W49" s="646"/>
      <c r="X49" s="646"/>
      <c r="Y49" s="646"/>
      <c r="Z49" s="646"/>
      <c r="AA49" s="646"/>
      <c r="AB49" s="646"/>
      <c r="AC49" s="646"/>
      <c r="AD49" s="646"/>
      <c r="AE49" s="646"/>
      <c r="AF49" s="647"/>
      <c r="AG49" s="647"/>
      <c r="AH49" s="647"/>
      <c r="AI49" s="647"/>
      <c r="AJ49" s="647"/>
      <c r="AK49" s="647"/>
      <c r="AL49" s="647"/>
      <c r="AM49" s="647"/>
      <c r="AN49" s="647"/>
      <c r="AO49" s="647"/>
      <c r="AP49" s="647"/>
      <c r="AQ49" s="647"/>
      <c r="AR49" s="647"/>
      <c r="AS49" s="647"/>
      <c r="AT49" s="647"/>
      <c r="AU49" s="647"/>
      <c r="AV49" s="647"/>
      <c r="AW49" s="647"/>
      <c r="AX49" s="647"/>
      <c r="AY49" s="647"/>
      <c r="AZ49" s="647"/>
      <c r="BA49" s="647"/>
      <c r="BB49" s="647"/>
      <c r="BC49" s="647"/>
      <c r="BD49" s="647"/>
    </row>
    <row r="50" spans="1:56" ht="15">
      <c r="A50" s="642"/>
      <c r="B50" s="642"/>
      <c r="C50" s="642"/>
      <c r="D50" s="642"/>
      <c r="E50" s="642"/>
      <c r="F50" s="643"/>
      <c r="G50" s="644"/>
      <c r="H50" s="644"/>
      <c r="K50" s="646"/>
      <c r="L50" s="646"/>
      <c r="M50" s="646"/>
      <c r="N50" s="646"/>
      <c r="O50" s="646"/>
      <c r="P50" s="646"/>
      <c r="Q50" s="646"/>
      <c r="R50" s="646"/>
      <c r="S50" s="646"/>
      <c r="T50" s="646"/>
      <c r="U50" s="646"/>
      <c r="V50" s="646"/>
      <c r="W50" s="646"/>
      <c r="X50" s="646"/>
      <c r="Y50" s="646"/>
      <c r="Z50" s="646"/>
      <c r="AA50" s="646"/>
      <c r="AB50" s="646"/>
      <c r="AC50" s="646"/>
      <c r="AD50" s="646"/>
      <c r="AE50" s="646"/>
      <c r="AF50" s="647"/>
      <c r="AG50" s="647"/>
      <c r="AH50" s="647"/>
      <c r="AI50" s="647"/>
      <c r="AJ50" s="647"/>
      <c r="AK50" s="647"/>
      <c r="AL50" s="647"/>
      <c r="AM50" s="647"/>
      <c r="AN50" s="647"/>
      <c r="AO50" s="647"/>
      <c r="AP50" s="647"/>
      <c r="AQ50" s="647"/>
      <c r="AR50" s="647"/>
      <c r="AS50" s="647"/>
      <c r="AT50" s="647"/>
      <c r="AU50" s="647"/>
      <c r="AV50" s="647"/>
      <c r="AW50" s="647"/>
      <c r="AX50" s="647"/>
      <c r="AY50" s="647"/>
      <c r="AZ50" s="647"/>
      <c r="BA50" s="647"/>
      <c r="BB50" s="647"/>
      <c r="BC50" s="647"/>
      <c r="BD50" s="647"/>
    </row>
    <row r="51" spans="1:56" ht="15">
      <c r="A51" s="642"/>
      <c r="B51" s="642"/>
      <c r="C51" s="642"/>
      <c r="D51" s="642"/>
      <c r="E51" s="642"/>
      <c r="F51" s="643"/>
      <c r="G51" s="644"/>
      <c r="H51" s="644"/>
      <c r="K51" s="646"/>
      <c r="L51" s="646"/>
      <c r="M51" s="646"/>
      <c r="N51" s="646"/>
      <c r="O51" s="646"/>
      <c r="P51" s="646"/>
      <c r="Q51" s="646"/>
      <c r="R51" s="646"/>
      <c r="S51" s="646"/>
      <c r="T51" s="646"/>
      <c r="U51" s="646"/>
      <c r="V51" s="646"/>
      <c r="W51" s="646"/>
      <c r="X51" s="646"/>
      <c r="Y51" s="646"/>
      <c r="Z51" s="646"/>
      <c r="AA51" s="646"/>
      <c r="AB51" s="646"/>
      <c r="AC51" s="646"/>
      <c r="AD51" s="646"/>
      <c r="AE51" s="646"/>
      <c r="AF51" s="647"/>
      <c r="AG51" s="647"/>
      <c r="AH51" s="647"/>
      <c r="AI51" s="647"/>
      <c r="AJ51" s="647"/>
      <c r="AK51" s="647"/>
      <c r="AL51" s="647"/>
      <c r="AM51" s="647"/>
      <c r="AN51" s="647"/>
      <c r="AO51" s="647"/>
      <c r="AP51" s="647"/>
      <c r="AQ51" s="647"/>
      <c r="AR51" s="647"/>
      <c r="AS51" s="647"/>
      <c r="AT51" s="647"/>
      <c r="AU51" s="647"/>
      <c r="AV51" s="647"/>
      <c r="AW51" s="647"/>
      <c r="AX51" s="647"/>
      <c r="AY51" s="647"/>
      <c r="AZ51" s="647"/>
      <c r="BA51" s="647"/>
      <c r="BB51" s="647"/>
      <c r="BC51" s="647"/>
      <c r="BD51" s="647"/>
    </row>
    <row r="52" spans="1:56" ht="15">
      <c r="A52" s="642"/>
      <c r="B52" s="642"/>
      <c r="C52" s="642"/>
      <c r="D52" s="642"/>
      <c r="E52" s="642"/>
      <c r="F52" s="643"/>
      <c r="G52" s="644"/>
      <c r="H52" s="644"/>
      <c r="K52" s="646"/>
      <c r="L52" s="646"/>
      <c r="M52" s="646"/>
      <c r="N52" s="646"/>
      <c r="O52" s="646"/>
      <c r="P52" s="646"/>
      <c r="Q52" s="646"/>
      <c r="R52" s="646"/>
      <c r="S52" s="646"/>
      <c r="T52" s="646"/>
      <c r="U52" s="646"/>
      <c r="V52" s="646"/>
      <c r="W52" s="646"/>
      <c r="X52" s="646"/>
      <c r="Y52" s="646"/>
      <c r="Z52" s="646"/>
      <c r="AA52" s="646"/>
      <c r="AB52" s="646"/>
      <c r="AC52" s="646"/>
      <c r="AD52" s="646"/>
      <c r="AE52" s="646"/>
      <c r="AF52" s="647"/>
      <c r="AG52" s="647"/>
      <c r="AH52" s="647"/>
      <c r="AI52" s="647"/>
      <c r="AJ52" s="647"/>
      <c r="AK52" s="647"/>
      <c r="AL52" s="647"/>
      <c r="AM52" s="647"/>
      <c r="AN52" s="647"/>
      <c r="AO52" s="647"/>
      <c r="AP52" s="647"/>
      <c r="AQ52" s="647"/>
      <c r="AR52" s="647"/>
      <c r="AS52" s="647"/>
      <c r="AT52" s="647"/>
      <c r="AU52" s="647"/>
      <c r="AV52" s="647"/>
      <c r="AW52" s="647"/>
      <c r="AX52" s="647"/>
      <c r="AY52" s="647"/>
      <c r="AZ52" s="647"/>
      <c r="BA52" s="647"/>
      <c r="BB52" s="647"/>
      <c r="BC52" s="647"/>
      <c r="BD52" s="647"/>
    </row>
    <row r="53" spans="1:56" ht="15">
      <c r="A53" s="642"/>
      <c r="B53" s="642"/>
      <c r="C53" s="642"/>
      <c r="D53" s="642"/>
      <c r="E53" s="642"/>
      <c r="F53" s="643"/>
      <c r="G53" s="644"/>
      <c r="H53" s="644"/>
      <c r="K53" s="646"/>
      <c r="L53" s="646"/>
      <c r="M53" s="646"/>
      <c r="N53" s="646"/>
      <c r="O53" s="646"/>
      <c r="P53" s="646"/>
      <c r="Q53" s="646"/>
      <c r="R53" s="646"/>
      <c r="S53" s="646"/>
      <c r="T53" s="646"/>
      <c r="U53" s="646"/>
      <c r="V53" s="646"/>
      <c r="W53" s="646"/>
      <c r="X53" s="646"/>
      <c r="Y53" s="646"/>
      <c r="Z53" s="646"/>
      <c r="AA53" s="646"/>
      <c r="AB53" s="646"/>
      <c r="AC53" s="646"/>
      <c r="AD53" s="646"/>
      <c r="AE53" s="646"/>
      <c r="AF53" s="647"/>
      <c r="AG53" s="647"/>
      <c r="AH53" s="647"/>
      <c r="AI53" s="647"/>
      <c r="AJ53" s="647"/>
      <c r="AK53" s="647"/>
      <c r="AL53" s="647"/>
      <c r="AM53" s="647"/>
      <c r="AN53" s="647"/>
      <c r="AO53" s="647"/>
      <c r="AP53" s="647"/>
      <c r="AQ53" s="647"/>
      <c r="AR53" s="647"/>
      <c r="AS53" s="647"/>
      <c r="AT53" s="647"/>
      <c r="AU53" s="647"/>
      <c r="AV53" s="647"/>
      <c r="AW53" s="647"/>
      <c r="AX53" s="647"/>
      <c r="AY53" s="647"/>
      <c r="AZ53" s="647"/>
      <c r="BA53" s="647"/>
      <c r="BB53" s="647"/>
      <c r="BC53" s="647"/>
      <c r="BD53" s="647"/>
    </row>
    <row r="54" spans="1:56" ht="15">
      <c r="A54" s="642"/>
      <c r="B54" s="642"/>
      <c r="C54" s="642"/>
      <c r="D54" s="642"/>
      <c r="E54" s="642"/>
      <c r="F54" s="643"/>
      <c r="G54" s="644"/>
      <c r="H54" s="644"/>
      <c r="K54" s="646"/>
      <c r="L54" s="646"/>
      <c r="M54" s="646"/>
      <c r="N54" s="646"/>
      <c r="O54" s="646"/>
      <c r="P54" s="646"/>
      <c r="Q54" s="646"/>
      <c r="R54" s="646"/>
      <c r="S54" s="646"/>
      <c r="T54" s="646"/>
      <c r="U54" s="646"/>
      <c r="V54" s="646"/>
      <c r="W54" s="646"/>
      <c r="X54" s="646"/>
      <c r="Y54" s="646"/>
      <c r="Z54" s="646"/>
      <c r="AA54" s="646"/>
      <c r="AB54" s="646"/>
      <c r="AC54" s="646"/>
      <c r="AD54" s="646"/>
      <c r="AE54" s="646"/>
      <c r="AF54" s="647"/>
      <c r="AG54" s="647"/>
      <c r="AH54" s="647"/>
      <c r="AI54" s="647"/>
      <c r="AJ54" s="647"/>
      <c r="AK54" s="647"/>
      <c r="AL54" s="647"/>
      <c r="AM54" s="647"/>
      <c r="AN54" s="647"/>
      <c r="AO54" s="647"/>
      <c r="AP54" s="647"/>
      <c r="AQ54" s="647"/>
      <c r="AR54" s="647"/>
      <c r="AS54" s="647"/>
      <c r="AT54" s="647"/>
      <c r="AU54" s="647"/>
      <c r="AV54" s="647"/>
      <c r="AW54" s="647"/>
      <c r="AX54" s="647"/>
      <c r="AY54" s="647"/>
      <c r="AZ54" s="647"/>
      <c r="BA54" s="647"/>
      <c r="BB54" s="647"/>
      <c r="BC54" s="647"/>
      <c r="BD54" s="64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CB219"/>
  <sheetViews>
    <sheetView tabSelected="1" topLeftCell="B1" zoomScaleNormal="100" workbookViewId="0">
      <selection activeCell="C13" sqref="C13"/>
    </sheetView>
  </sheetViews>
  <sheetFormatPr defaultRowHeight="12.75"/>
  <cols>
    <col min="1" max="1" width="35" customWidth="1"/>
    <col min="2" max="2" width="30.140625" customWidth="1"/>
    <col min="3" max="3" width="59" customWidth="1"/>
    <col min="4" max="4" width="26.5703125" customWidth="1"/>
    <col min="5" max="5" width="15.140625" customWidth="1"/>
    <col min="6" max="7" width="12.5703125" customWidth="1"/>
    <col min="8" max="24" width="9.140625" customWidth="1"/>
    <col min="28" max="28" width="21.7109375" customWidth="1"/>
    <col min="29" max="29" width="35.85546875" customWidth="1"/>
    <col min="30" max="30" width="35.28515625" customWidth="1"/>
    <col min="31" max="31" width="15" customWidth="1"/>
    <col min="32" max="32" width="17.7109375" customWidth="1"/>
    <col min="33" max="33" width="15.140625" customWidth="1"/>
    <col min="34" max="34" width="15.7109375" customWidth="1"/>
    <col min="35" max="35" width="21.28515625" customWidth="1"/>
    <col min="36" max="36" width="17.7109375" bestFit="1" customWidth="1"/>
    <col min="37" max="37" width="15.42578125" bestFit="1" customWidth="1"/>
    <col min="38" max="38" width="14.28515625" bestFit="1" customWidth="1"/>
    <col min="39" max="39" width="14.28515625" customWidth="1"/>
    <col min="40" max="40" width="12.5703125" customWidth="1"/>
    <col min="41" max="41" width="14" bestFit="1" customWidth="1"/>
    <col min="42" max="43" width="10.85546875" bestFit="1" customWidth="1"/>
    <col min="44" max="44" width="13.42578125" customWidth="1"/>
    <col min="45" max="45" width="11.85546875" bestFit="1" customWidth="1"/>
    <col min="46" max="46" width="11" bestFit="1" customWidth="1"/>
    <col min="47" max="47" width="14.28515625" bestFit="1" customWidth="1"/>
    <col min="48" max="48" width="10.7109375" customWidth="1"/>
    <col min="49" max="49" width="13.85546875" bestFit="1" customWidth="1"/>
    <col min="50" max="50" width="11.7109375" bestFit="1" customWidth="1"/>
    <col min="51" max="51" width="15.28515625" bestFit="1" customWidth="1"/>
    <col min="52" max="54" width="12.28515625" bestFit="1" customWidth="1"/>
    <col min="55" max="55" width="12.5703125" bestFit="1" customWidth="1"/>
    <col min="56" max="58" width="14.28515625" bestFit="1" customWidth="1"/>
    <col min="59" max="59" width="13.7109375" bestFit="1" customWidth="1"/>
    <col min="60" max="60" width="14" bestFit="1" customWidth="1"/>
    <col min="61" max="61" width="12.85546875" bestFit="1" customWidth="1"/>
    <col min="62" max="62" width="15.28515625" bestFit="1" customWidth="1"/>
    <col min="63" max="63" width="12.28515625" bestFit="1" customWidth="1"/>
    <col min="64" max="64" width="10.85546875" bestFit="1" customWidth="1"/>
    <col min="65" max="65" width="12.28515625" bestFit="1" customWidth="1"/>
    <col min="66" max="66" width="12.5703125" bestFit="1" customWidth="1"/>
  </cols>
  <sheetData>
    <row r="1" spans="1:68">
      <c r="A1" s="525" t="s">
        <v>367</v>
      </c>
      <c r="B1" s="652" t="s">
        <v>368</v>
      </c>
      <c r="C1" s="652"/>
      <c r="D1" s="652"/>
      <c r="E1" s="652"/>
      <c r="F1" s="652"/>
      <c r="G1" s="652"/>
      <c r="H1" s="652"/>
      <c r="I1" s="652"/>
      <c r="J1" s="652"/>
      <c r="K1" s="652"/>
      <c r="L1" s="652"/>
      <c r="M1" s="652"/>
      <c r="N1" s="652"/>
      <c r="O1" s="652"/>
      <c r="P1" s="652"/>
      <c r="Q1" s="652"/>
      <c r="R1" s="652"/>
      <c r="S1" s="652"/>
    </row>
    <row r="2" spans="1:68">
      <c r="A2" s="526" t="s">
        <v>369</v>
      </c>
      <c r="B2" s="652"/>
      <c r="C2" s="652"/>
      <c r="D2" s="652"/>
      <c r="E2" s="652"/>
      <c r="F2" s="652"/>
      <c r="G2" s="652"/>
      <c r="H2" s="652"/>
      <c r="I2" s="652"/>
      <c r="J2" s="652"/>
      <c r="K2" s="652"/>
      <c r="L2" s="652"/>
      <c r="M2" s="652"/>
      <c r="N2" s="652"/>
      <c r="O2" s="652"/>
      <c r="P2" s="652"/>
      <c r="Q2" s="652"/>
      <c r="R2" s="652"/>
      <c r="S2" s="652"/>
    </row>
    <row r="3" spans="1:68">
      <c r="B3" s="652"/>
      <c r="C3" s="652"/>
      <c r="D3" s="652"/>
      <c r="E3" s="652"/>
      <c r="F3" s="652"/>
      <c r="G3" s="652"/>
      <c r="H3" s="652"/>
      <c r="I3" s="652"/>
      <c r="J3" s="652"/>
      <c r="K3" s="652"/>
      <c r="L3" s="652"/>
      <c r="M3" s="652"/>
      <c r="N3" s="652"/>
      <c r="O3" s="652"/>
      <c r="P3" s="652"/>
      <c r="Q3" s="652"/>
      <c r="R3" s="652"/>
      <c r="S3" s="652"/>
    </row>
    <row r="4" spans="1:68">
      <c r="B4" s="652"/>
      <c r="C4" s="652"/>
      <c r="D4" s="652"/>
      <c r="E4" s="652"/>
      <c r="F4" s="652"/>
      <c r="G4" s="652"/>
      <c r="H4" s="652"/>
      <c r="I4" s="652"/>
      <c r="J4" s="652"/>
      <c r="K4" s="652"/>
      <c r="L4" s="652"/>
      <c r="M4" s="652"/>
      <c r="N4" s="652"/>
      <c r="O4" s="652"/>
      <c r="P4" s="652"/>
      <c r="Q4" s="652"/>
      <c r="R4" s="652"/>
      <c r="S4" s="652"/>
    </row>
    <row r="5" spans="1:68">
      <c r="B5" s="652"/>
      <c r="C5" s="652"/>
      <c r="D5" s="652"/>
      <c r="E5" s="652"/>
      <c r="F5" s="652"/>
      <c r="G5" s="652"/>
      <c r="H5" s="652"/>
      <c r="I5" s="652"/>
      <c r="J5" s="652"/>
      <c r="K5" s="652"/>
      <c r="L5" s="652"/>
      <c r="M5" s="652"/>
      <c r="N5" s="652"/>
      <c r="O5" s="652"/>
      <c r="P5" s="652"/>
      <c r="Q5" s="652"/>
      <c r="R5" s="652"/>
      <c r="S5" s="652"/>
    </row>
    <row r="6" spans="1:68">
      <c r="B6" s="652"/>
      <c r="C6" s="652"/>
      <c r="D6" s="652"/>
      <c r="E6" s="652"/>
      <c r="F6" s="652"/>
      <c r="G6" s="652"/>
      <c r="H6" s="652"/>
      <c r="I6" s="652"/>
      <c r="J6" s="652"/>
      <c r="K6" s="652"/>
      <c r="L6" s="652"/>
      <c r="M6" s="652"/>
      <c r="N6" s="652"/>
      <c r="O6" s="652"/>
      <c r="P6" s="652"/>
      <c r="Q6" s="652"/>
      <c r="R6" s="652"/>
      <c r="S6" s="652"/>
    </row>
    <row r="7" spans="1:68">
      <c r="A7" s="649"/>
      <c r="B7" s="649" t="s">
        <v>370</v>
      </c>
      <c r="C7" s="527" t="s">
        <v>371</v>
      </c>
      <c r="D7" s="527" t="s">
        <v>807</v>
      </c>
    </row>
    <row r="8" spans="1:68">
      <c r="A8" s="649" t="s">
        <v>805</v>
      </c>
      <c r="B8" s="649" t="s">
        <v>372</v>
      </c>
      <c r="C8" s="527" t="s">
        <v>507</v>
      </c>
      <c r="D8" s="527" t="s">
        <v>373</v>
      </c>
    </row>
    <row r="9" spans="1:68">
      <c r="A9" s="649" t="str">
        <f>INDEX([1]ACHIEV!$A$19:$B$100,MATCH(CONCATENATE($C$8," - ",$C$7),[1]ACHIEV!$B$19:$B$100,0),1)</f>
        <v>Refrigeration</v>
      </c>
      <c r="B9" s="650" t="s">
        <v>374</v>
      </c>
      <c r="C9" s="527">
        <f>[1]FILES!$H$4</f>
        <v>2035</v>
      </c>
      <c r="D9" s="527" t="str">
        <f>[2]!switch_ForecastScenario</f>
        <v>Base</v>
      </c>
    </row>
    <row r="10" spans="1:68">
      <c r="A10" s="649"/>
      <c r="B10" s="649" t="s">
        <v>806</v>
      </c>
      <c r="C10" s="651">
        <f ca="1">MIN(SUM(E130:X130),Y130)</f>
        <v>1.1987564116178056</v>
      </c>
      <c r="D10" s="529"/>
      <c r="AB10" s="530"/>
      <c r="AC10" s="530"/>
      <c r="AD10" s="530"/>
      <c r="AE10" s="530"/>
      <c r="AF10" s="530"/>
      <c r="AG10" s="530"/>
      <c r="AH10" s="530"/>
      <c r="AI10" s="530"/>
      <c r="AJ10" s="530"/>
      <c r="AK10" s="530"/>
      <c r="AL10" s="530"/>
      <c r="AM10" s="530"/>
      <c r="AN10" s="530"/>
      <c r="AO10" s="530"/>
      <c r="AP10" s="530"/>
      <c r="AQ10" s="530"/>
      <c r="AR10" s="530"/>
      <c r="AS10" s="530"/>
      <c r="AT10" s="530"/>
      <c r="AU10" s="530"/>
      <c r="AV10" s="530"/>
      <c r="AW10" s="530"/>
      <c r="AX10" s="530"/>
      <c r="AY10" s="530"/>
      <c r="AZ10" s="530"/>
      <c r="BA10" s="530"/>
      <c r="BB10" s="530"/>
      <c r="BC10" s="530"/>
      <c r="BD10" s="530"/>
      <c r="BE10" s="530"/>
      <c r="BF10" s="530"/>
      <c r="BG10" s="530"/>
      <c r="BH10" s="530"/>
      <c r="BI10" s="530"/>
      <c r="BJ10" s="530"/>
      <c r="BK10" s="530"/>
      <c r="BL10" s="530"/>
      <c r="BM10" s="530"/>
      <c r="BN10" s="530"/>
      <c r="BO10" s="530"/>
      <c r="BP10" s="530"/>
    </row>
    <row r="11" spans="1:68" ht="15">
      <c r="A11" s="531" t="str">
        <f>CONCATENATE("1000LBS of MILK PRODUCTION -",$C$8)</f>
        <v>1000LBS of MILK PRODUCTION -Dairy</v>
      </c>
      <c r="C11" t="s">
        <v>509</v>
      </c>
      <c r="E11" s="532">
        <v>2016</v>
      </c>
      <c r="F11" s="533">
        <v>2017</v>
      </c>
      <c r="G11" s="533">
        <v>2018</v>
      </c>
      <c r="H11" s="533">
        <v>2019</v>
      </c>
      <c r="I11" s="533">
        <v>2020</v>
      </c>
      <c r="J11" s="533">
        <v>2021</v>
      </c>
      <c r="K11" s="533">
        <v>2022</v>
      </c>
      <c r="L11" s="533">
        <v>2023</v>
      </c>
      <c r="M11" s="533">
        <v>2024</v>
      </c>
      <c r="N11" s="533">
        <v>2025</v>
      </c>
      <c r="O11" s="533">
        <v>2026</v>
      </c>
      <c r="P11" s="533">
        <v>2027</v>
      </c>
      <c r="Q11" s="533">
        <v>2028</v>
      </c>
      <c r="R11" s="533">
        <v>2029</v>
      </c>
      <c r="S11" s="533">
        <v>2030</v>
      </c>
      <c r="T11" s="533">
        <v>2031</v>
      </c>
      <c r="U11" s="533">
        <v>2032</v>
      </c>
      <c r="V11" s="533">
        <v>2033</v>
      </c>
      <c r="W11" s="533">
        <v>2034</v>
      </c>
      <c r="X11" s="533">
        <v>2035</v>
      </c>
      <c r="Y11" s="534"/>
      <c r="AA11" s="535"/>
      <c r="AJ11" s="530"/>
      <c r="AK11" s="530"/>
      <c r="AL11" s="530"/>
      <c r="AM11" s="530"/>
      <c r="AN11" s="530"/>
      <c r="AO11" s="530"/>
      <c r="AP11" s="530"/>
      <c r="AQ11" s="530"/>
      <c r="AR11" s="530"/>
      <c r="AS11" s="530"/>
      <c r="AT11" s="530"/>
      <c r="AU11" s="530"/>
      <c r="AV11" s="530"/>
      <c r="AW11" s="530"/>
      <c r="AX11" s="530"/>
      <c r="AY11" s="530"/>
      <c r="AZ11" s="530"/>
      <c r="BA11" s="530"/>
      <c r="BB11" s="530"/>
      <c r="BC11" s="530"/>
      <c r="BD11" s="530"/>
      <c r="BE11" s="530"/>
      <c r="BF11" s="530"/>
      <c r="BG11" s="530"/>
      <c r="BH11" s="530"/>
      <c r="BI11" s="530"/>
      <c r="BJ11" s="530"/>
      <c r="BK11" s="530"/>
      <c r="BL11" s="530"/>
      <c r="BM11" s="530"/>
      <c r="BN11" s="530"/>
      <c r="BO11" s="530"/>
      <c r="BP11" s="530"/>
    </row>
    <row r="12" spans="1:68" ht="15">
      <c r="E12" s="536" t="str">
        <f>CONCATENATE("1000 LBS_",E11)</f>
        <v>1000 LBS_2016</v>
      </c>
      <c r="F12" s="536" t="str">
        <f t="shared" ref="F12:X12" si="0">CONCATENATE("LBS_",F11)</f>
        <v>LBS_2017</v>
      </c>
      <c r="G12" s="536" t="str">
        <f t="shared" si="0"/>
        <v>LBS_2018</v>
      </c>
      <c r="H12" s="536" t="str">
        <f t="shared" si="0"/>
        <v>LBS_2019</v>
      </c>
      <c r="I12" s="536" t="str">
        <f t="shared" si="0"/>
        <v>LBS_2020</v>
      </c>
      <c r="J12" s="536" t="str">
        <f t="shared" si="0"/>
        <v>LBS_2021</v>
      </c>
      <c r="K12" s="536" t="str">
        <f t="shared" si="0"/>
        <v>LBS_2022</v>
      </c>
      <c r="L12" s="536" t="str">
        <f t="shared" si="0"/>
        <v>LBS_2023</v>
      </c>
      <c r="M12" s="536" t="str">
        <f t="shared" si="0"/>
        <v>LBS_2024</v>
      </c>
      <c r="N12" s="536" t="str">
        <f t="shared" si="0"/>
        <v>LBS_2025</v>
      </c>
      <c r="O12" s="536" t="str">
        <f t="shared" si="0"/>
        <v>LBS_2026</v>
      </c>
      <c r="P12" s="536" t="str">
        <f t="shared" si="0"/>
        <v>LBS_2027</v>
      </c>
      <c r="Q12" s="536" t="str">
        <f t="shared" si="0"/>
        <v>LBS_2028</v>
      </c>
      <c r="R12" s="536" t="str">
        <f t="shared" si="0"/>
        <v>LBS_2029</v>
      </c>
      <c r="S12" s="536" t="str">
        <f t="shared" si="0"/>
        <v>LBS_2030</v>
      </c>
      <c r="T12" s="536" t="str">
        <f t="shared" si="0"/>
        <v>LBS_2031</v>
      </c>
      <c r="U12" s="536" t="str">
        <f t="shared" si="0"/>
        <v>LBS_2032</v>
      </c>
      <c r="V12" s="536" t="str">
        <f t="shared" si="0"/>
        <v>LBS_2033</v>
      </c>
      <c r="W12" s="536" t="str">
        <f t="shared" si="0"/>
        <v>LBS_2034</v>
      </c>
      <c r="X12" s="536" t="str">
        <f t="shared" si="0"/>
        <v>LBS_2035</v>
      </c>
      <c r="Y12" s="537"/>
      <c r="AA12" s="525"/>
    </row>
    <row r="13" spans="1:68">
      <c r="A13" s="427">
        <f ca="1">E13+E17</f>
        <v>13629012.110609967</v>
      </c>
      <c r="B13" s="538" t="str">
        <f>CONCATENATE(D13," ",C13)</f>
        <v>Idaho FreeStall</v>
      </c>
      <c r="C13" t="s">
        <v>508</v>
      </c>
      <c r="D13" t="s">
        <v>4</v>
      </c>
      <c r="E13" s="538">
        <f ca="1">'Input Assumptions'!N8/1000</f>
        <v>13381373.652731845</v>
      </c>
      <c r="F13" s="538">
        <f ca="1">'Input Assumptions'!O8/1000</f>
        <v>13595268.656373758</v>
      </c>
      <c r="G13" s="538">
        <f ca="1">'Input Assumptions'!P8/1000</f>
        <v>13775577.967466269</v>
      </c>
      <c r="H13" s="538">
        <f ca="1">'Input Assumptions'!Q8/1000</f>
        <v>14018680.896089273</v>
      </c>
      <c r="I13" s="538">
        <f ca="1">'Input Assumptions'!R8/1000</f>
        <v>14266045.04363743</v>
      </c>
      <c r="J13" s="538">
        <f ca="1">'Input Assumptions'!S8/1000</f>
        <v>14537100.335402071</v>
      </c>
      <c r="K13" s="538">
        <f ca="1">'Input Assumptions'!T8/1000</f>
        <v>14801183.051947787</v>
      </c>
      <c r="L13" s="538">
        <f ca="1">'Input Assumptions'!U8/1000</f>
        <v>15103443.2100817</v>
      </c>
      <c r="M13" s="538">
        <f ca="1">'Input Assumptions'!V8/1000</f>
        <v>15429063.156353127</v>
      </c>
      <c r="N13" s="538">
        <f ca="1">'Input Assumptions'!W8/1000</f>
        <v>15775271.942320911</v>
      </c>
      <c r="O13" s="538">
        <f ca="1">'Input Assumptions'!X8/1000</f>
        <v>16187695.543673944</v>
      </c>
      <c r="P13" s="538">
        <f ca="1">'Input Assumptions'!Y8/1000</f>
        <v>16549288.635648677</v>
      </c>
      <c r="Q13" s="538">
        <f ca="1">'Input Assumptions'!Z8/1000</f>
        <v>16938370.380748507</v>
      </c>
      <c r="R13" s="538">
        <f ca="1">'Input Assumptions'!AA8/1000</f>
        <v>17262025.3183739</v>
      </c>
      <c r="S13" s="538">
        <f ca="1">'Input Assumptions'!AB8/1000</f>
        <v>17601407.060123723</v>
      </c>
      <c r="T13" s="538">
        <f ca="1">'Input Assumptions'!AC8/1000</f>
        <v>17957477.770559598</v>
      </c>
      <c r="U13" s="538">
        <f ca="1">'Input Assumptions'!AD8/1000</f>
        <v>18286205.122448623</v>
      </c>
      <c r="V13" s="538">
        <f ca="1">'Input Assumptions'!AE8/1000</f>
        <v>18591819.098031621</v>
      </c>
      <c r="W13" s="538">
        <f ca="1">'Input Assumptions'!AF8/1000</f>
        <v>18938586.252918009</v>
      </c>
      <c r="X13" s="538">
        <f ca="1">'Input Assumptions'!AG8/1000</f>
        <v>19174754.380217116</v>
      </c>
      <c r="Y13" s="538"/>
      <c r="AA13" s="539"/>
    </row>
    <row r="14" spans="1:68">
      <c r="A14" s="427">
        <f t="shared" ref="A14:A16" ca="1" si="1">E14+E18</f>
        <v>90745.295820599044</v>
      </c>
      <c r="B14" s="538" t="str">
        <f t="shared" ref="B14:B20" si="2">CONCATENATE(D14," ",C14)</f>
        <v>Montana FreeStall</v>
      </c>
      <c r="C14" t="s">
        <v>508</v>
      </c>
      <c r="D14" t="s">
        <v>28</v>
      </c>
      <c r="E14" s="538">
        <f ca="1">'Input Assumptions'!N45/1000</f>
        <v>76608.703759866781</v>
      </c>
      <c r="F14" s="538">
        <f ca="1">'Input Assumptions'!O45/1000</f>
        <v>76761.735842724942</v>
      </c>
      <c r="G14" s="538">
        <f ca="1">'Input Assumptions'!P45/1000</f>
        <v>76762.970455077404</v>
      </c>
      <c r="H14" s="538">
        <f ca="1">'Input Assumptions'!Q45/1000</f>
        <v>76876.645206570785</v>
      </c>
      <c r="I14" s="538">
        <f ca="1">'Input Assumptions'!R45/1000</f>
        <v>76831.163198594135</v>
      </c>
      <c r="J14" s="538">
        <f ca="1">'Input Assumptions'!S45/1000</f>
        <v>76787.913990017187</v>
      </c>
      <c r="K14" s="538">
        <f ca="1">'Input Assumptions'!T45/1000</f>
        <v>76889.155976407783</v>
      </c>
      <c r="L14" s="538">
        <f ca="1">'Input Assumptions'!U45/1000</f>
        <v>76962.708979945979</v>
      </c>
      <c r="M14" s="538">
        <f ca="1">'Input Assumptions'!V45/1000</f>
        <v>76778.431087079705</v>
      </c>
      <c r="N14" s="538">
        <f ca="1">'Input Assumptions'!W45/1000</f>
        <v>76766.431092596933</v>
      </c>
      <c r="O14" s="538">
        <f ca="1">'Input Assumptions'!X45/1000</f>
        <v>76767.258184357939</v>
      </c>
      <c r="P14" s="538">
        <f ca="1">'Input Assumptions'!Y45/1000</f>
        <v>76289.130208444141</v>
      </c>
      <c r="Q14" s="538">
        <f ca="1">'Input Assumptions'!Z45/1000</f>
        <v>76234.879493023036</v>
      </c>
      <c r="R14" s="538">
        <f ca="1">'Input Assumptions'!AA45/1000</f>
        <v>76127.422423469237</v>
      </c>
      <c r="S14" s="538">
        <f ca="1">'Input Assumptions'!AB45/1000</f>
        <v>75960.459432526797</v>
      </c>
      <c r="T14" s="538">
        <f ca="1">'Input Assumptions'!AC45/1000</f>
        <v>75760.208143164171</v>
      </c>
      <c r="U14" s="538">
        <f ca="1">'Input Assumptions'!AD45/1000</f>
        <v>75759.864418486031</v>
      </c>
      <c r="V14" s="538">
        <f ca="1">'Input Assumptions'!AE45/1000</f>
        <v>75469.92774276514</v>
      </c>
      <c r="W14" s="538">
        <f ca="1">'Input Assumptions'!AF45/1000</f>
        <v>75188.702189373362</v>
      </c>
      <c r="X14" s="538">
        <f ca="1">'Input Assumptions'!AG45/1000</f>
        <v>75191.788733358408</v>
      </c>
      <c r="Y14" s="538"/>
      <c r="AA14" s="539"/>
    </row>
    <row r="15" spans="1:68">
      <c r="A15" s="427">
        <f t="shared" ca="1" si="1"/>
        <v>2744180.5516225435</v>
      </c>
      <c r="B15" s="538" t="str">
        <f t="shared" si="2"/>
        <v>Oregon FreeStall</v>
      </c>
      <c r="C15" t="s">
        <v>508</v>
      </c>
      <c r="D15" t="s">
        <v>29</v>
      </c>
      <c r="E15" s="538">
        <f ca="1">'Input Assumptions'!N82/1000</f>
        <v>2658126.5224654516</v>
      </c>
      <c r="F15" s="538">
        <f ca="1">'Input Assumptions'!O82/1000</f>
        <v>2695271.2875139508</v>
      </c>
      <c r="G15" s="538">
        <f ca="1">'Input Assumptions'!P82/1000</f>
        <v>2731748.8285021749</v>
      </c>
      <c r="H15" s="538">
        <f ca="1">'Input Assumptions'!Q82/1000</f>
        <v>2766392.6505010473</v>
      </c>
      <c r="I15" s="538">
        <f ca="1">'Input Assumptions'!R82/1000</f>
        <v>2801216.349393094</v>
      </c>
      <c r="J15" s="538">
        <f ca="1">'Input Assumptions'!S82/1000</f>
        <v>2837151.4899283876</v>
      </c>
      <c r="K15" s="538">
        <f ca="1">'Input Assumptions'!T82/1000</f>
        <v>2877817.6819302654</v>
      </c>
      <c r="L15" s="538">
        <f ca="1">'Input Assumptions'!U82/1000</f>
        <v>2921874.5677221571</v>
      </c>
      <c r="M15" s="538">
        <f ca="1">'Input Assumptions'!V82/1000</f>
        <v>2968404.6356556276</v>
      </c>
      <c r="N15" s="538">
        <f ca="1">'Input Assumptions'!W82/1000</f>
        <v>3017218.3223166205</v>
      </c>
      <c r="O15" s="538">
        <f ca="1">'Input Assumptions'!X82/1000</f>
        <v>3069238.6139419046</v>
      </c>
      <c r="P15" s="538">
        <f ca="1">'Input Assumptions'!Y82/1000</f>
        <v>3119163.9544376824</v>
      </c>
      <c r="Q15" s="538">
        <f ca="1">'Input Assumptions'!Z82/1000</f>
        <v>3169024.5610727374</v>
      </c>
      <c r="R15" s="538">
        <f ca="1">'Input Assumptions'!AA82/1000</f>
        <v>3218154.5329244086</v>
      </c>
      <c r="S15" s="538">
        <f ca="1">'Input Assumptions'!AB82/1000</f>
        <v>3273658.826337432</v>
      </c>
      <c r="T15" s="538">
        <f ca="1">'Input Assumptions'!AC82/1000</f>
        <v>3319006.4880340411</v>
      </c>
      <c r="U15" s="538">
        <f ca="1">'Input Assumptions'!AD82/1000</f>
        <v>3368111.2267703242</v>
      </c>
      <c r="V15" s="538">
        <f ca="1">'Input Assumptions'!AE82/1000</f>
        <v>3423146.5260044234</v>
      </c>
      <c r="W15" s="538">
        <f ca="1">'Input Assumptions'!AF82/1000</f>
        <v>3471172.6525953924</v>
      </c>
      <c r="X15" s="538">
        <f ca="1">'Input Assumptions'!AG82/1000</f>
        <v>3524303.6374894688</v>
      </c>
      <c r="Y15" s="538"/>
      <c r="AA15" s="539"/>
    </row>
    <row r="16" spans="1:68">
      <c r="A16" s="427">
        <f t="shared" ca="1" si="1"/>
        <v>6417416.6624736041</v>
      </c>
      <c r="B16" s="538" t="str">
        <f t="shared" si="2"/>
        <v>Washington FreeStall</v>
      </c>
      <c r="C16" t="s">
        <v>508</v>
      </c>
      <c r="D16" t="s">
        <v>30</v>
      </c>
      <c r="E16" s="538">
        <f ca="1">'Input Assumptions'!N119/1000</f>
        <v>6310054.1610971428</v>
      </c>
      <c r="F16" s="538">
        <f ca="1">'Input Assumptions'!O119/1000</f>
        <v>6420322.0971731357</v>
      </c>
      <c r="G16" s="538">
        <f ca="1">'Input Assumptions'!P119/1000</f>
        <v>6540712.3513794746</v>
      </c>
      <c r="H16" s="538">
        <f ca="1">'Input Assumptions'!Q119/1000</f>
        <v>6643214.3382915435</v>
      </c>
      <c r="I16" s="538">
        <f ca="1">'Input Assumptions'!R119/1000</f>
        <v>6751632.2010160238</v>
      </c>
      <c r="J16" s="538">
        <f ca="1">'Input Assumptions'!S119/1000</f>
        <v>6843582.3290164983</v>
      </c>
      <c r="K16" s="538">
        <f ca="1">'Input Assumptions'!T119/1000</f>
        <v>6959143.010236836</v>
      </c>
      <c r="L16" s="538">
        <f ca="1">'Input Assumptions'!U119/1000</f>
        <v>7046833.8852619901</v>
      </c>
      <c r="M16" s="538">
        <f ca="1">'Input Assumptions'!V119/1000</f>
        <v>7153197.0136614982</v>
      </c>
      <c r="N16" s="538">
        <f ca="1">'Input Assumptions'!W119/1000</f>
        <v>7274820.375729871</v>
      </c>
      <c r="O16" s="538">
        <f ca="1">'Input Assumptions'!X119/1000</f>
        <v>7408249.9564015502</v>
      </c>
      <c r="P16" s="538">
        <f ca="1">'Input Assumptions'!Y119/1000</f>
        <v>7551019.0578879779</v>
      </c>
      <c r="Q16" s="538">
        <f ca="1">'Input Assumptions'!Z119/1000</f>
        <v>7683241.660560891</v>
      </c>
      <c r="R16" s="538">
        <f ca="1">'Input Assumptions'!AA119/1000</f>
        <v>7818591.0598064624</v>
      </c>
      <c r="S16" s="538">
        <f ca="1">'Input Assumptions'!AB119/1000</f>
        <v>7948796.957140266</v>
      </c>
      <c r="T16" s="538">
        <f ca="1">'Input Assumptions'!AC119/1000</f>
        <v>8104978.824387867</v>
      </c>
      <c r="U16" s="538">
        <f ca="1">'Input Assumptions'!AD119/1000</f>
        <v>8252273.519483366</v>
      </c>
      <c r="V16" s="538">
        <f ca="1">'Input Assumptions'!AE119/1000</f>
        <v>8379997.9767092951</v>
      </c>
      <c r="W16" s="538">
        <f ca="1">'Input Assumptions'!AF119/1000</f>
        <v>8540059.1596037485</v>
      </c>
      <c r="X16" s="538">
        <f ca="1">'Input Assumptions'!AG119/1000</f>
        <v>8659500.7781096678</v>
      </c>
      <c r="Y16" s="538"/>
      <c r="AA16" s="539"/>
    </row>
    <row r="17" spans="1:27">
      <c r="B17" s="538" t="str">
        <f t="shared" si="2"/>
        <v>Idaho TieStall</v>
      </c>
      <c r="C17" t="s">
        <v>130</v>
      </c>
      <c r="D17" t="s">
        <v>4</v>
      </c>
      <c r="E17" s="538">
        <f>'Input Assumptions'!N23/1000</f>
        <v>247638.45787812243</v>
      </c>
      <c r="F17" s="538">
        <f>'Input Assumptions'!O23/1000</f>
        <v>247638.45787812243</v>
      </c>
      <c r="G17" s="538">
        <f>'Input Assumptions'!P23/1000</f>
        <v>247638.45787812243</v>
      </c>
      <c r="H17" s="538">
        <f>'Input Assumptions'!Q23/1000</f>
        <v>247638.45787812243</v>
      </c>
      <c r="I17" s="538">
        <f>'Input Assumptions'!R23/1000</f>
        <v>247638.45787812243</v>
      </c>
      <c r="J17" s="538">
        <f>'Input Assumptions'!S23/1000</f>
        <v>247638.45787812243</v>
      </c>
      <c r="K17" s="538">
        <f>'Input Assumptions'!T23/1000</f>
        <v>247638.45787812243</v>
      </c>
      <c r="L17" s="538">
        <f>'Input Assumptions'!U23/1000</f>
        <v>247638.45787812243</v>
      </c>
      <c r="M17" s="538">
        <f>'Input Assumptions'!V23/1000</f>
        <v>247638.45787812243</v>
      </c>
      <c r="N17" s="538">
        <f>'Input Assumptions'!W23/1000</f>
        <v>247638.45787812243</v>
      </c>
      <c r="O17" s="538">
        <f>'Input Assumptions'!X23/1000</f>
        <v>247638.45787812243</v>
      </c>
      <c r="P17" s="538">
        <f>'Input Assumptions'!Y23/1000</f>
        <v>247638.45787812243</v>
      </c>
      <c r="Q17" s="538">
        <f>'Input Assumptions'!Z23/1000</f>
        <v>247638.45787812243</v>
      </c>
      <c r="R17" s="538">
        <f>'Input Assumptions'!AA23/1000</f>
        <v>247638.45787812243</v>
      </c>
      <c r="S17" s="538">
        <f>'Input Assumptions'!AB23/1000</f>
        <v>247638.45787812243</v>
      </c>
      <c r="T17" s="538">
        <f>'Input Assumptions'!AC23/1000</f>
        <v>247638.45787812243</v>
      </c>
      <c r="U17" s="538">
        <f>'Input Assumptions'!AD23/1000</f>
        <v>247638.45787812243</v>
      </c>
      <c r="V17" s="538">
        <f>'Input Assumptions'!AE23/1000</f>
        <v>247638.45787812243</v>
      </c>
      <c r="W17" s="538">
        <f>'Input Assumptions'!AF23/1000</f>
        <v>247638.45787812243</v>
      </c>
      <c r="X17" s="538">
        <f>'Input Assumptions'!AG23/1000</f>
        <v>247638.45787812243</v>
      </c>
      <c r="Y17" s="538"/>
      <c r="AA17" s="539"/>
    </row>
    <row r="18" spans="1:27">
      <c r="B18" s="538" t="str">
        <f t="shared" si="2"/>
        <v>Montana TieStall</v>
      </c>
      <c r="C18" t="s">
        <v>130</v>
      </c>
      <c r="D18" t="s">
        <v>28</v>
      </c>
      <c r="E18" s="538">
        <f>'Input Assumptions'!N60/1000</f>
        <v>14136.592060732255</v>
      </c>
      <c r="F18" s="538">
        <f>'Input Assumptions'!O60/1000</f>
        <v>14136.592060732255</v>
      </c>
      <c r="G18" s="538">
        <f>'Input Assumptions'!P60/1000</f>
        <v>14136.592060732255</v>
      </c>
      <c r="H18" s="538">
        <f>'Input Assumptions'!Q60/1000</f>
        <v>14136.592060732255</v>
      </c>
      <c r="I18" s="538">
        <f>'Input Assumptions'!R60/1000</f>
        <v>14136.592060732255</v>
      </c>
      <c r="J18" s="538">
        <f>'Input Assumptions'!S60/1000</f>
        <v>14136.592060732255</v>
      </c>
      <c r="K18" s="538">
        <f>'Input Assumptions'!T60/1000</f>
        <v>14136.592060732255</v>
      </c>
      <c r="L18" s="538">
        <f>'Input Assumptions'!U60/1000</f>
        <v>14136.592060732255</v>
      </c>
      <c r="M18" s="538">
        <f>'Input Assumptions'!V60/1000</f>
        <v>14136.592060732255</v>
      </c>
      <c r="N18" s="538">
        <f>'Input Assumptions'!W60/1000</f>
        <v>14136.592060732255</v>
      </c>
      <c r="O18" s="538">
        <f>'Input Assumptions'!X60/1000</f>
        <v>14136.592060732255</v>
      </c>
      <c r="P18" s="538">
        <f>'Input Assumptions'!Y60/1000</f>
        <v>14136.592060732255</v>
      </c>
      <c r="Q18" s="538">
        <f>'Input Assumptions'!Z60/1000</f>
        <v>14136.592060732255</v>
      </c>
      <c r="R18" s="538">
        <f>'Input Assumptions'!AA60/1000</f>
        <v>14136.592060732255</v>
      </c>
      <c r="S18" s="538">
        <f>'Input Assumptions'!AB60/1000</f>
        <v>14136.592060732255</v>
      </c>
      <c r="T18" s="538">
        <f>'Input Assumptions'!AC60/1000</f>
        <v>14136.592060732255</v>
      </c>
      <c r="U18" s="538">
        <f>'Input Assumptions'!AD60/1000</f>
        <v>14136.592060732255</v>
      </c>
      <c r="V18" s="538">
        <f>'Input Assumptions'!AE60/1000</f>
        <v>14136.592060732255</v>
      </c>
      <c r="W18" s="538">
        <f>'Input Assumptions'!AF60/1000</f>
        <v>14136.592060732255</v>
      </c>
      <c r="X18" s="538">
        <f>'Input Assumptions'!AG60/1000</f>
        <v>14136.592060732255</v>
      </c>
      <c r="Y18" s="538"/>
      <c r="AA18" s="539"/>
    </row>
    <row r="19" spans="1:27">
      <c r="B19" s="538" t="str">
        <f t="shared" si="2"/>
        <v>Oregon TieStall</v>
      </c>
      <c r="C19" t="s">
        <v>130</v>
      </c>
      <c r="D19" t="s">
        <v>29</v>
      </c>
      <c r="E19" s="538">
        <f>'Input Assumptions'!N97/1000</f>
        <v>86054.029157092082</v>
      </c>
      <c r="F19" s="538">
        <f>'Input Assumptions'!O97/1000</f>
        <v>86054.029157092082</v>
      </c>
      <c r="G19" s="538">
        <f>'Input Assumptions'!P97/1000</f>
        <v>86054.029157092082</v>
      </c>
      <c r="H19" s="538">
        <f>'Input Assumptions'!Q97/1000</f>
        <v>86054.029157092082</v>
      </c>
      <c r="I19" s="538">
        <f>'Input Assumptions'!R97/1000</f>
        <v>86054.029157092082</v>
      </c>
      <c r="J19" s="538">
        <f>'Input Assumptions'!S97/1000</f>
        <v>86054.029157092082</v>
      </c>
      <c r="K19" s="538">
        <f>'Input Assumptions'!T97/1000</f>
        <v>86054.029157092082</v>
      </c>
      <c r="L19" s="538">
        <f>'Input Assumptions'!U97/1000</f>
        <v>86054.029157092082</v>
      </c>
      <c r="M19" s="538">
        <f>'Input Assumptions'!V97/1000</f>
        <v>86054.029157092082</v>
      </c>
      <c r="N19" s="538">
        <f>'Input Assumptions'!W97/1000</f>
        <v>86054.029157092082</v>
      </c>
      <c r="O19" s="538">
        <f>'Input Assumptions'!X97/1000</f>
        <v>86054.029157092082</v>
      </c>
      <c r="P19" s="538">
        <f>'Input Assumptions'!Y97/1000</f>
        <v>86054.029157092082</v>
      </c>
      <c r="Q19" s="538">
        <f>'Input Assumptions'!Z97/1000</f>
        <v>86054.029157092082</v>
      </c>
      <c r="R19" s="538">
        <f>'Input Assumptions'!AA97/1000</f>
        <v>86054.029157092082</v>
      </c>
      <c r="S19" s="538">
        <f>'Input Assumptions'!AB97/1000</f>
        <v>86054.029157092082</v>
      </c>
      <c r="T19" s="538">
        <f>'Input Assumptions'!AC97/1000</f>
        <v>86054.029157092082</v>
      </c>
      <c r="U19" s="538">
        <f>'Input Assumptions'!AD97/1000</f>
        <v>86054.029157092082</v>
      </c>
      <c r="V19" s="538">
        <f>'Input Assumptions'!AE97/1000</f>
        <v>86054.029157092082</v>
      </c>
      <c r="W19" s="538">
        <f>'Input Assumptions'!AF97/1000</f>
        <v>86054.029157092082</v>
      </c>
      <c r="X19" s="538">
        <f>'Input Assumptions'!AG97/1000</f>
        <v>86054.029157092082</v>
      </c>
      <c r="Y19" s="538"/>
      <c r="AA19" s="539"/>
    </row>
    <row r="20" spans="1:27">
      <c r="B20" s="538" t="str">
        <f t="shared" si="2"/>
        <v>Washington TieStall</v>
      </c>
      <c r="C20" t="s">
        <v>130</v>
      </c>
      <c r="D20" t="s">
        <v>30</v>
      </c>
      <c r="E20" s="538">
        <f>'Input Assumptions'!N134/1000</f>
        <v>107362.50137646121</v>
      </c>
      <c r="F20" s="538">
        <f>'Input Assumptions'!O134/1000</f>
        <v>107362.50137646121</v>
      </c>
      <c r="G20" s="538">
        <f>'Input Assumptions'!P134/1000</f>
        <v>107362.50137646121</v>
      </c>
      <c r="H20" s="538">
        <f>'Input Assumptions'!Q134/1000</f>
        <v>107362.50137646121</v>
      </c>
      <c r="I20" s="538">
        <f>'Input Assumptions'!R134/1000</f>
        <v>107362.50137646121</v>
      </c>
      <c r="J20" s="538">
        <f>'Input Assumptions'!S134/1000</f>
        <v>107362.50137646121</v>
      </c>
      <c r="K20" s="538">
        <f>'Input Assumptions'!T134/1000</f>
        <v>107362.50137646121</v>
      </c>
      <c r="L20" s="538">
        <f>'Input Assumptions'!U134/1000</f>
        <v>107362.50137646121</v>
      </c>
      <c r="M20" s="538">
        <f>'Input Assumptions'!V134/1000</f>
        <v>107362.50137646121</v>
      </c>
      <c r="N20" s="538">
        <f>'Input Assumptions'!W134/1000</f>
        <v>107362.50137646121</v>
      </c>
      <c r="O20" s="538">
        <f>'Input Assumptions'!X134/1000</f>
        <v>107362.50137646121</v>
      </c>
      <c r="P20" s="538">
        <f>'Input Assumptions'!Y134/1000</f>
        <v>107362.50137646121</v>
      </c>
      <c r="Q20" s="538">
        <f>'Input Assumptions'!Z134/1000</f>
        <v>107362.50137646121</v>
      </c>
      <c r="R20" s="538">
        <f>'Input Assumptions'!AA134/1000</f>
        <v>107362.50137646121</v>
      </c>
      <c r="S20" s="538">
        <f>'Input Assumptions'!AB134/1000</f>
        <v>107362.50137646121</v>
      </c>
      <c r="T20" s="538">
        <f>'Input Assumptions'!AC134/1000</f>
        <v>107362.50137646121</v>
      </c>
      <c r="U20" s="538">
        <f>'Input Assumptions'!AD134/1000</f>
        <v>107362.50137646121</v>
      </c>
      <c r="V20" s="538">
        <f>'Input Assumptions'!AE134/1000</f>
        <v>107362.50137646121</v>
      </c>
      <c r="W20" s="538">
        <f>'Input Assumptions'!AF134/1000</f>
        <v>107362.50137646121</v>
      </c>
      <c r="X20" s="538">
        <f>'Input Assumptions'!AG134/1000</f>
        <v>107362.50137646121</v>
      </c>
      <c r="Y20" s="538"/>
      <c r="AA20" s="539"/>
    </row>
    <row r="21" spans="1:27">
      <c r="E21" s="538"/>
      <c r="F21" s="538"/>
      <c r="G21" s="538"/>
      <c r="H21" s="538"/>
      <c r="I21" s="538"/>
      <c r="J21" s="538"/>
      <c r="K21" s="538"/>
      <c r="L21" s="538"/>
      <c r="M21" s="538"/>
      <c r="N21" s="538"/>
      <c r="O21" s="538"/>
      <c r="P21" s="538"/>
      <c r="Q21" s="538"/>
      <c r="R21" s="538"/>
      <c r="S21" s="538"/>
      <c r="T21" s="538"/>
      <c r="U21" s="538"/>
      <c r="V21" s="538"/>
      <c r="W21" s="538"/>
      <c r="X21" s="538"/>
      <c r="Y21" s="538"/>
    </row>
    <row r="22" spans="1:27">
      <c r="B22" t="s">
        <v>510</v>
      </c>
      <c r="C22" t="s">
        <v>375</v>
      </c>
      <c r="E22" s="538">
        <f ca="1">SUM(E13:E16)</f>
        <v>22426163.040054306</v>
      </c>
      <c r="F22" s="538">
        <f t="shared" ref="F22:X22" ca="1" si="3">SUM(F13:F16)</f>
        <v>22787623.77690357</v>
      </c>
      <c r="G22" s="538">
        <f t="shared" ca="1" si="3"/>
        <v>23124802.117802992</v>
      </c>
      <c r="H22" s="538">
        <f t="shared" ca="1" si="3"/>
        <v>23505164.530088436</v>
      </c>
      <c r="I22" s="538">
        <f t="shared" ca="1" si="3"/>
        <v>23895724.757245142</v>
      </c>
      <c r="J22" s="538">
        <f t="shared" ca="1" si="3"/>
        <v>24294622.068336975</v>
      </c>
      <c r="K22" s="538">
        <f t="shared" ca="1" si="3"/>
        <v>24715032.900091298</v>
      </c>
      <c r="L22" s="538">
        <f t="shared" ca="1" si="3"/>
        <v>25149114.372045793</v>
      </c>
      <c r="M22" s="538">
        <f t="shared" ca="1" si="3"/>
        <v>25627443.236757331</v>
      </c>
      <c r="N22" s="538">
        <f t="shared" ca="1" si="3"/>
        <v>26144077.071459997</v>
      </c>
      <c r="O22" s="538">
        <f t="shared" ca="1" si="3"/>
        <v>26741951.372201756</v>
      </c>
      <c r="P22" s="538">
        <f t="shared" ca="1" si="3"/>
        <v>27295760.778182782</v>
      </c>
      <c r="Q22" s="538">
        <f t="shared" ca="1" si="3"/>
        <v>27866871.481875159</v>
      </c>
      <c r="R22" s="538">
        <f t="shared" ca="1" si="3"/>
        <v>28374898.333528243</v>
      </c>
      <c r="S22" s="538">
        <f t="shared" ca="1" si="3"/>
        <v>28899823.303033948</v>
      </c>
      <c r="T22" s="538">
        <f t="shared" ca="1" si="3"/>
        <v>29457223.291124668</v>
      </c>
      <c r="U22" s="538">
        <f t="shared" ca="1" si="3"/>
        <v>29982349.733120795</v>
      </c>
      <c r="V22" s="538">
        <f t="shared" ca="1" si="3"/>
        <v>30470433.528488103</v>
      </c>
      <c r="W22" s="538">
        <f t="shared" ca="1" si="3"/>
        <v>31025006.767306525</v>
      </c>
      <c r="X22" s="538">
        <f t="shared" ca="1" si="3"/>
        <v>31433750.584549613</v>
      </c>
      <c r="Y22" s="538"/>
      <c r="AA22" s="539"/>
    </row>
    <row r="23" spans="1:27">
      <c r="D23" s="538"/>
      <c r="E23" s="538"/>
      <c r="F23" s="538"/>
      <c r="G23" s="538"/>
      <c r="H23" s="538"/>
      <c r="I23" s="538"/>
      <c r="J23" s="538"/>
      <c r="K23" s="538"/>
      <c r="L23" s="538"/>
      <c r="M23" s="538"/>
      <c r="N23" s="538"/>
      <c r="O23" s="538"/>
      <c r="P23" s="538"/>
      <c r="Q23" s="538"/>
      <c r="R23" s="538"/>
      <c r="S23" s="538"/>
      <c r="T23" s="538"/>
      <c r="U23" s="538"/>
      <c r="V23" s="538"/>
      <c r="W23" s="538"/>
      <c r="X23" s="538"/>
    </row>
    <row r="24" spans="1:27">
      <c r="D24" s="538"/>
      <c r="E24" s="538"/>
      <c r="F24" s="538"/>
      <c r="G24" s="538"/>
      <c r="H24" s="538"/>
      <c r="I24" s="538"/>
      <c r="J24" s="538"/>
      <c r="K24" s="538"/>
      <c r="L24" s="538"/>
      <c r="M24" s="538"/>
      <c r="N24" s="538"/>
      <c r="O24" s="538"/>
      <c r="P24" s="538"/>
      <c r="Q24" s="538"/>
      <c r="R24" s="538"/>
      <c r="S24" s="538"/>
      <c r="T24" s="538"/>
      <c r="U24" s="538"/>
      <c r="V24" s="538"/>
      <c r="W24" s="538"/>
      <c r="X24" s="538"/>
    </row>
    <row r="25" spans="1:27" ht="15">
      <c r="A25" s="531" t="str">
        <f>CONCATENATE("# ACRES APPLICABLE BY YEAR FOR MEASURE - ",C26)</f>
        <v># ACRES APPLICABLE BY YEAR FOR MEASURE - Dairy - Retro</v>
      </c>
      <c r="B25" s="531"/>
      <c r="D25" s="538"/>
      <c r="E25" s="538"/>
      <c r="F25" s="538"/>
      <c r="G25" s="538"/>
      <c r="H25" s="538"/>
      <c r="I25" s="538"/>
      <c r="J25" s="538"/>
      <c r="K25" s="538"/>
      <c r="L25" s="538"/>
      <c r="M25" s="538"/>
      <c r="N25" s="538"/>
      <c r="O25" s="538"/>
      <c r="P25" s="538"/>
      <c r="Q25" s="538"/>
      <c r="R25" s="538"/>
      <c r="S25" s="538"/>
      <c r="T25" s="538"/>
      <c r="U25" s="538"/>
      <c r="V25" s="538"/>
      <c r="W25" s="538"/>
      <c r="X25" s="538"/>
      <c r="AA25" s="535">
        <v>0.85</v>
      </c>
    </row>
    <row r="26" spans="1:27" ht="15">
      <c r="A26" s="540" t="s">
        <v>376</v>
      </c>
      <c r="B26" s="540" t="s">
        <v>377</v>
      </c>
      <c r="C26" s="540" t="str">
        <f>CONCATENATE(C8," - ",C7)</f>
        <v>Dairy - Retro</v>
      </c>
      <c r="D26">
        <v>2</v>
      </c>
      <c r="E26">
        <v>3</v>
      </c>
      <c r="F26">
        <v>4</v>
      </c>
      <c r="G26">
        <v>5</v>
      </c>
      <c r="H26">
        <v>6</v>
      </c>
      <c r="I26">
        <v>7</v>
      </c>
      <c r="J26">
        <v>8</v>
      </c>
      <c r="K26">
        <v>9</v>
      </c>
      <c r="L26">
        <v>10</v>
      </c>
      <c r="M26">
        <v>11</v>
      </c>
      <c r="N26">
        <v>12</v>
      </c>
      <c r="O26">
        <v>13</v>
      </c>
      <c r="P26">
        <v>14</v>
      </c>
      <c r="Q26">
        <v>15</v>
      </c>
      <c r="R26">
        <v>16</v>
      </c>
      <c r="S26">
        <v>17</v>
      </c>
      <c r="T26">
        <v>18</v>
      </c>
      <c r="U26">
        <v>19</v>
      </c>
      <c r="V26">
        <v>20</v>
      </c>
      <c r="W26">
        <v>21</v>
      </c>
      <c r="X26">
        <v>22</v>
      </c>
      <c r="Y26">
        <v>23</v>
      </c>
      <c r="AA26" s="525" t="s">
        <v>378</v>
      </c>
    </row>
    <row r="27" spans="1:27">
      <c r="A27" s="541">
        <f>INDEX([1]APPLIC!$B$8:$F$67,MATCH(CONCATENATE($C27," - ",$B27),[1]APPLIC!$B$9:$B$67,0)+1,MATCH($D27,[1]APPLIC!$C$8:$F$8,0)+1)</f>
        <v>2.5000000000000022E-3</v>
      </c>
      <c r="B27" s="542" t="s">
        <v>508</v>
      </c>
      <c r="C27" s="530" t="s">
        <v>137</v>
      </c>
      <c r="D27" t="s">
        <v>4</v>
      </c>
      <c r="E27" s="538">
        <f ca="1">$A27*VLOOKUP(CONCATENATE($D27," ",$B27),$B$13:$X$20,E$26+1,FALSE)</f>
        <v>33453.434131829643</v>
      </c>
      <c r="F27" s="538">
        <f t="shared" ref="F27:U42" ca="1" si="4">$A27*VLOOKUP(CONCATENATE($D27," ",$B27),$B$13:$X$20,F$26+1,FALSE)</f>
        <v>33988.171640934423</v>
      </c>
      <c r="G27" s="538">
        <f t="shared" ca="1" si="4"/>
        <v>34438.9449186657</v>
      </c>
      <c r="H27" s="538">
        <f t="shared" ca="1" si="4"/>
        <v>35046.702240223211</v>
      </c>
      <c r="I27" s="538">
        <f t="shared" ca="1" si="4"/>
        <v>35665.112609093609</v>
      </c>
      <c r="J27" s="538">
        <f t="shared" ca="1" si="4"/>
        <v>36342.750838505213</v>
      </c>
      <c r="K27" s="538">
        <f t="shared" ca="1" si="4"/>
        <v>37002.957629869503</v>
      </c>
      <c r="L27" s="538">
        <f t="shared" ca="1" si="4"/>
        <v>37758.608025204281</v>
      </c>
      <c r="M27" s="538">
        <f t="shared" ca="1" si="4"/>
        <v>38572.657890882852</v>
      </c>
      <c r="N27" s="538">
        <f t="shared" ca="1" si="4"/>
        <v>39438.179855802315</v>
      </c>
      <c r="O27" s="538">
        <f t="shared" ca="1" si="4"/>
        <v>40469.238859184894</v>
      </c>
      <c r="P27" s="538">
        <f t="shared" ca="1" si="4"/>
        <v>41373.221589121727</v>
      </c>
      <c r="Q27" s="538">
        <f t="shared" ca="1" si="4"/>
        <v>42345.925951871301</v>
      </c>
      <c r="R27" s="538">
        <f t="shared" ca="1" si="4"/>
        <v>43155.063295934786</v>
      </c>
      <c r="S27" s="538">
        <f t="shared" ca="1" si="4"/>
        <v>44003.517650309346</v>
      </c>
      <c r="T27" s="538">
        <f t="shared" ca="1" si="4"/>
        <v>44893.694426399037</v>
      </c>
      <c r="U27" s="538">
        <f t="shared" ca="1" si="4"/>
        <v>45715.512806121602</v>
      </c>
      <c r="V27" s="538">
        <f t="shared" ref="V27:X42" ca="1" si="5">$A27*VLOOKUP(CONCATENATE($D27," ",$B27),$B$13:$X$20,V$26+1,FALSE)</f>
        <v>46479.547745079093</v>
      </c>
      <c r="W27" s="538">
        <f t="shared" ca="1" si="5"/>
        <v>47346.465632295061</v>
      </c>
      <c r="X27" s="538">
        <f t="shared" ca="1" si="5"/>
        <v>47936.885950542834</v>
      </c>
      <c r="Y27" s="538"/>
      <c r="Z27" s="538" t="str">
        <f>CONCATENATE(C27," - ",D27," ",B27)</f>
        <v>VSD - Vacuum Pump - Idaho FreeStall</v>
      </c>
      <c r="AA27" s="539">
        <f ca="1">VLOOKUP(CONCATENATE(D27," ",B27),$B$13:$X$20,$X$26+1,FALSE)*$AA$25*A27</f>
        <v>40746.353057961409</v>
      </c>
    </row>
    <row r="28" spans="1:27">
      <c r="A28" s="541">
        <f>INDEX([1]APPLIC!$B$8:$F$67,MATCH(CONCATENATE($C28," - ",$B28),[1]APPLIC!$B$9:$B$67,0)+1,MATCH($D28,[1]APPLIC!$C$8:$F$8,0)+1)</f>
        <v>4.7500000000000042E-2</v>
      </c>
      <c r="B28" s="542" t="s">
        <v>508</v>
      </c>
      <c r="C28" s="530" t="s">
        <v>138</v>
      </c>
      <c r="D28" t="s">
        <v>4</v>
      </c>
      <c r="E28" s="538">
        <f t="shared" ref="E28:T43" ca="1" si="6">$A28*VLOOKUP(CONCATENATE($D28," ",$B28),$B$13:$X$20,E$26+1,FALSE)</f>
        <v>635615.24850476324</v>
      </c>
      <c r="F28" s="538">
        <f t="shared" ca="1" si="4"/>
        <v>645775.26117775403</v>
      </c>
      <c r="G28" s="538">
        <f t="shared" ca="1" si="4"/>
        <v>654339.95345464838</v>
      </c>
      <c r="H28" s="538">
        <f t="shared" ca="1" si="4"/>
        <v>665887.34256424103</v>
      </c>
      <c r="I28" s="538">
        <f t="shared" ca="1" si="4"/>
        <v>677637.13957277848</v>
      </c>
      <c r="J28" s="538">
        <f t="shared" ca="1" si="4"/>
        <v>690512.26593159896</v>
      </c>
      <c r="K28" s="538">
        <f t="shared" ca="1" si="4"/>
        <v>703056.19496752054</v>
      </c>
      <c r="L28" s="538">
        <f t="shared" ca="1" si="4"/>
        <v>717413.55247888144</v>
      </c>
      <c r="M28" s="538">
        <f t="shared" ca="1" si="4"/>
        <v>732880.49992677418</v>
      </c>
      <c r="N28" s="538">
        <f t="shared" ca="1" si="4"/>
        <v>749325.41726024391</v>
      </c>
      <c r="O28" s="538">
        <f t="shared" ca="1" si="4"/>
        <v>768915.53832451301</v>
      </c>
      <c r="P28" s="538">
        <f t="shared" ca="1" si="4"/>
        <v>786091.21019331284</v>
      </c>
      <c r="Q28" s="538">
        <f t="shared" ca="1" si="4"/>
        <v>804572.59308555478</v>
      </c>
      <c r="R28" s="538">
        <f t="shared" ca="1" si="4"/>
        <v>819946.20262276102</v>
      </c>
      <c r="S28" s="538">
        <f t="shared" ca="1" si="4"/>
        <v>836066.83535587753</v>
      </c>
      <c r="T28" s="538">
        <f t="shared" ca="1" si="4"/>
        <v>852980.1941015817</v>
      </c>
      <c r="U28" s="538">
        <f t="shared" ca="1" si="4"/>
        <v>868594.74331631034</v>
      </c>
      <c r="V28" s="538">
        <f t="shared" ca="1" si="5"/>
        <v>883111.40715650283</v>
      </c>
      <c r="W28" s="538">
        <f t="shared" ca="1" si="5"/>
        <v>899582.84701360622</v>
      </c>
      <c r="X28" s="538">
        <f t="shared" ca="1" si="5"/>
        <v>910800.83306031383</v>
      </c>
      <c r="Y28" s="538"/>
      <c r="Z28" s="538" t="str">
        <f t="shared" ref="Z28:Z54" si="7">CONCATENATE(C28," - ",D28," ",B28)</f>
        <v>Plate Milk Pre-cooler - Idaho FreeStall</v>
      </c>
      <c r="AA28" s="539">
        <f t="shared" ref="AA28:AA54" ca="1" si="8">VLOOKUP(CONCATENATE(D28," ",B28),$B$13:$X$20,$X$26+1,FALSE)*$AA$25*A28</f>
        <v>774180.70810126676</v>
      </c>
    </row>
    <row r="29" spans="1:27">
      <c r="A29" s="541">
        <f>INDEX([1]APPLIC!$B$8:$F$67,MATCH(CONCATENATE($C29," - ",$B29),[1]APPLIC!$B$9:$B$67,0)+1,MATCH($D29,[1]APPLIC!$C$8:$F$8,0)+1)</f>
        <v>0.22596247328595939</v>
      </c>
      <c r="B29" s="542" t="s">
        <v>508</v>
      </c>
      <c r="C29" s="530" t="s">
        <v>139</v>
      </c>
      <c r="D29" t="s">
        <v>4</v>
      </c>
      <c r="E29" s="538">
        <f t="shared" ca="1" si="6"/>
        <v>3023688.2865348603</v>
      </c>
      <c r="F29" s="538">
        <f t="shared" ca="1" si="4"/>
        <v>3072020.5305812964</v>
      </c>
      <c r="G29" s="538">
        <f t="shared" ca="1" si="4"/>
        <v>3112763.6684722477</v>
      </c>
      <c r="H29" s="538">
        <f t="shared" ca="1" si="4"/>
        <v>3167695.8074869616</v>
      </c>
      <c r="I29" s="538">
        <f t="shared" ca="1" si="4"/>
        <v>3223590.8220692161</v>
      </c>
      <c r="J29" s="538">
        <f t="shared" ca="1" si="4"/>
        <v>3284839.1461936021</v>
      </c>
      <c r="K29" s="538">
        <f t="shared" ca="1" si="4"/>
        <v>3344511.9299763469</v>
      </c>
      <c r="L29" s="538">
        <f t="shared" ca="1" si="4"/>
        <v>3412811.3828840908</v>
      </c>
      <c r="M29" s="538">
        <f t="shared" ca="1" si="4"/>
        <v>3486389.2712948238</v>
      </c>
      <c r="N29" s="538">
        <f t="shared" ca="1" si="4"/>
        <v>3564619.4648454338</v>
      </c>
      <c r="O29" s="538">
        <f t="shared" ca="1" si="4"/>
        <v>3657811.7218486676</v>
      </c>
      <c r="P29" s="538">
        <f t="shared" ca="1" si="4"/>
        <v>3739518.1912343954</v>
      </c>
      <c r="Q29" s="538">
        <f t="shared" ca="1" si="4"/>
        <v>3827436.0646675704</v>
      </c>
      <c r="R29" s="538">
        <f t="shared" ca="1" si="4"/>
        <v>3900569.934864617</v>
      </c>
      <c r="S29" s="538">
        <f t="shared" ca="1" si="4"/>
        <v>3977257.472618504</v>
      </c>
      <c r="T29" s="538">
        <f t="shared" ca="1" si="4"/>
        <v>4057716.0910132825</v>
      </c>
      <c r="U29" s="538">
        <f t="shared" ca="1" si="4"/>
        <v>4131996.1364828707</v>
      </c>
      <c r="V29" s="538">
        <f t="shared" ca="1" si="5"/>
        <v>4201053.4262763597</v>
      </c>
      <c r="W29" s="538">
        <f t="shared" ca="1" si="5"/>
        <v>4279409.7902488234</v>
      </c>
      <c r="X29" s="538">
        <f t="shared" ca="1" si="5"/>
        <v>4332774.9244046425</v>
      </c>
      <c r="Y29" s="538"/>
      <c r="Z29" s="538" t="str">
        <f t="shared" si="7"/>
        <v>Energy Efficient Lighting - Idaho FreeStall</v>
      </c>
      <c r="AA29" s="539">
        <f t="shared" ca="1" si="8"/>
        <v>3682858.6857439466</v>
      </c>
    </row>
    <row r="30" spans="1:27">
      <c r="A30" s="541">
        <f>INDEX([1]APPLIC!$B$8:$F$67,MATCH(CONCATENATE($C30," - ",$B30),[1]APPLIC!$B$9:$B$67,0)+1,MATCH($D30,[1]APPLIC!$C$8:$F$8,0)+1)</f>
        <v>0.1604247304551811</v>
      </c>
      <c r="B30" s="542" t="s">
        <v>130</v>
      </c>
      <c r="C30" s="530" t="s">
        <v>137</v>
      </c>
      <c r="D30" t="s">
        <v>4</v>
      </c>
      <c r="E30" s="538">
        <f t="shared" si="6"/>
        <v>39727.332855434506</v>
      </c>
      <c r="F30" s="538">
        <f t="shared" si="4"/>
        <v>39727.332855434506</v>
      </c>
      <c r="G30" s="538">
        <f t="shared" si="4"/>
        <v>39727.332855434506</v>
      </c>
      <c r="H30" s="538">
        <f t="shared" si="4"/>
        <v>39727.332855434506</v>
      </c>
      <c r="I30" s="538">
        <f t="shared" si="4"/>
        <v>39727.332855434506</v>
      </c>
      <c r="J30" s="538">
        <f t="shared" si="4"/>
        <v>39727.332855434506</v>
      </c>
      <c r="K30" s="538">
        <f t="shared" si="4"/>
        <v>39727.332855434506</v>
      </c>
      <c r="L30" s="538">
        <f t="shared" si="4"/>
        <v>39727.332855434506</v>
      </c>
      <c r="M30" s="538">
        <f t="shared" si="4"/>
        <v>39727.332855434506</v>
      </c>
      <c r="N30" s="538">
        <f t="shared" si="4"/>
        <v>39727.332855434506</v>
      </c>
      <c r="O30" s="538">
        <f t="shared" si="4"/>
        <v>39727.332855434506</v>
      </c>
      <c r="P30" s="538">
        <f t="shared" si="4"/>
        <v>39727.332855434506</v>
      </c>
      <c r="Q30" s="538">
        <f t="shared" si="4"/>
        <v>39727.332855434506</v>
      </c>
      <c r="R30" s="538">
        <f t="shared" si="4"/>
        <v>39727.332855434506</v>
      </c>
      <c r="S30" s="538">
        <f t="shared" si="4"/>
        <v>39727.332855434506</v>
      </c>
      <c r="T30" s="538">
        <f t="shared" si="4"/>
        <v>39727.332855434506</v>
      </c>
      <c r="U30" s="538">
        <f t="shared" si="4"/>
        <v>39727.332855434506</v>
      </c>
      <c r="V30" s="538">
        <f t="shared" si="5"/>
        <v>39727.332855434506</v>
      </c>
      <c r="W30" s="538">
        <f t="shared" si="5"/>
        <v>39727.332855434506</v>
      </c>
      <c r="X30" s="538">
        <f t="shared" si="5"/>
        <v>39727.332855434506</v>
      </c>
      <c r="Y30" s="538"/>
      <c r="Z30" s="538" t="str">
        <f t="shared" si="7"/>
        <v>VSD - Vacuum Pump - Idaho TieStall</v>
      </c>
      <c r="AA30" s="539">
        <f t="shared" si="8"/>
        <v>33768.232927119338</v>
      </c>
    </row>
    <row r="31" spans="1:27">
      <c r="A31" s="541">
        <f>INDEX([1]APPLIC!$B$8:$F$67,MATCH(CONCATENATE($C31," - ",$B31),[1]APPLIC!$B$9:$B$67,0)+1,MATCH($D31,[1]APPLIC!$C$8:$F$8,0)+1)</f>
        <v>0.84147877475526689</v>
      </c>
      <c r="B31" s="542" t="s">
        <v>130</v>
      </c>
      <c r="C31" s="530" t="s">
        <v>64</v>
      </c>
      <c r="D31" t="s">
        <v>4</v>
      </c>
      <c r="E31" s="538">
        <f t="shared" si="6"/>
        <v>208382.50611756623</v>
      </c>
      <c r="F31" s="538">
        <f t="shared" si="4"/>
        <v>208382.50611756623</v>
      </c>
      <c r="G31" s="538">
        <f t="shared" si="4"/>
        <v>208382.50611756623</v>
      </c>
      <c r="H31" s="538">
        <f t="shared" si="4"/>
        <v>208382.50611756623</v>
      </c>
      <c r="I31" s="538">
        <f t="shared" si="4"/>
        <v>208382.50611756623</v>
      </c>
      <c r="J31" s="538">
        <f t="shared" si="4"/>
        <v>208382.50611756623</v>
      </c>
      <c r="K31" s="538">
        <f t="shared" si="4"/>
        <v>208382.50611756623</v>
      </c>
      <c r="L31" s="538">
        <f t="shared" si="4"/>
        <v>208382.50611756623</v>
      </c>
      <c r="M31" s="538">
        <f t="shared" si="4"/>
        <v>208382.50611756623</v>
      </c>
      <c r="N31" s="538">
        <f t="shared" si="4"/>
        <v>208382.50611756623</v>
      </c>
      <c r="O31" s="538">
        <f t="shared" si="4"/>
        <v>208382.50611756623</v>
      </c>
      <c r="P31" s="538">
        <f t="shared" si="4"/>
        <v>208382.50611756623</v>
      </c>
      <c r="Q31" s="538">
        <f t="shared" si="4"/>
        <v>208382.50611756623</v>
      </c>
      <c r="R31" s="538">
        <f t="shared" si="4"/>
        <v>208382.50611756623</v>
      </c>
      <c r="S31" s="538">
        <f t="shared" si="4"/>
        <v>208382.50611756623</v>
      </c>
      <c r="T31" s="538">
        <f t="shared" si="4"/>
        <v>208382.50611756623</v>
      </c>
      <c r="U31" s="538">
        <f t="shared" si="4"/>
        <v>208382.50611756623</v>
      </c>
      <c r="V31" s="538">
        <f t="shared" si="5"/>
        <v>208382.50611756623</v>
      </c>
      <c r="W31" s="538">
        <f t="shared" si="5"/>
        <v>208382.50611756623</v>
      </c>
      <c r="X31" s="538">
        <f t="shared" si="5"/>
        <v>208382.50611756623</v>
      </c>
      <c r="Y31" s="538"/>
      <c r="Z31" s="538" t="str">
        <f t="shared" si="7"/>
        <v>Heat Recovery Refrigeration - Idaho TieStall</v>
      </c>
      <c r="AA31" s="539">
        <f t="shared" si="8"/>
        <v>177125.1301999313</v>
      </c>
    </row>
    <row r="32" spans="1:27">
      <c r="A32" s="541">
        <f>INDEX([1]APPLIC!$B$8:$F$67,MATCH(CONCATENATE($C32," - ",$B32),[1]APPLIC!$B$9:$B$67,0)+1,MATCH($D32,[1]APPLIC!$C$8:$F$8,0)+1)</f>
        <v>0.539760454730004</v>
      </c>
      <c r="B32" s="542" t="s">
        <v>130</v>
      </c>
      <c r="C32" s="530" t="s">
        <v>56</v>
      </c>
      <c r="D32" t="s">
        <v>4</v>
      </c>
      <c r="E32" s="538">
        <f t="shared" si="6"/>
        <v>133665.44663293229</v>
      </c>
      <c r="F32" s="538">
        <f t="shared" si="4"/>
        <v>133665.44663293229</v>
      </c>
      <c r="G32" s="538">
        <f t="shared" si="4"/>
        <v>133665.44663293229</v>
      </c>
      <c r="H32" s="538">
        <f t="shared" si="4"/>
        <v>133665.44663293229</v>
      </c>
      <c r="I32" s="538">
        <f t="shared" si="4"/>
        <v>133665.44663293229</v>
      </c>
      <c r="J32" s="538">
        <f t="shared" si="4"/>
        <v>133665.44663293229</v>
      </c>
      <c r="K32" s="538">
        <f t="shared" si="4"/>
        <v>133665.44663293229</v>
      </c>
      <c r="L32" s="538">
        <f t="shared" si="4"/>
        <v>133665.44663293229</v>
      </c>
      <c r="M32" s="538">
        <f t="shared" si="4"/>
        <v>133665.44663293229</v>
      </c>
      <c r="N32" s="538">
        <f t="shared" si="4"/>
        <v>133665.44663293229</v>
      </c>
      <c r="O32" s="538">
        <f t="shared" si="4"/>
        <v>133665.44663293229</v>
      </c>
      <c r="P32" s="538">
        <f t="shared" si="4"/>
        <v>133665.44663293229</v>
      </c>
      <c r="Q32" s="538">
        <f t="shared" si="4"/>
        <v>133665.44663293229</v>
      </c>
      <c r="R32" s="538">
        <f t="shared" si="4"/>
        <v>133665.44663293229</v>
      </c>
      <c r="S32" s="538">
        <f t="shared" si="4"/>
        <v>133665.44663293229</v>
      </c>
      <c r="T32" s="538">
        <f t="shared" si="4"/>
        <v>133665.44663293229</v>
      </c>
      <c r="U32" s="538">
        <f t="shared" si="4"/>
        <v>133665.44663293229</v>
      </c>
      <c r="V32" s="538">
        <f t="shared" si="5"/>
        <v>133665.44663293229</v>
      </c>
      <c r="W32" s="538">
        <f t="shared" si="5"/>
        <v>133665.44663293229</v>
      </c>
      <c r="X32" s="538">
        <f t="shared" si="5"/>
        <v>133665.44663293229</v>
      </c>
      <c r="Y32" s="538"/>
      <c r="Z32" s="538" t="str">
        <f t="shared" si="7"/>
        <v>Plate Milk Pre-Cooler - Idaho TieStall</v>
      </c>
      <c r="AA32" s="539">
        <f t="shared" si="8"/>
        <v>113615.62963799246</v>
      </c>
    </row>
    <row r="33" spans="1:27">
      <c r="A33" s="541">
        <f>INDEX([1]APPLIC!$B$8:$F$67,MATCH(CONCATENATE($C33," - ",$B33),[1]APPLIC!$B$9:$B$67,0)+1,MATCH($D33,[1]APPLIC!$C$8:$F$8,0)+1)</f>
        <v>7.1883204763838152E-2</v>
      </c>
      <c r="B33" s="542" t="s">
        <v>130</v>
      </c>
      <c r="C33" s="530" t="s">
        <v>139</v>
      </c>
      <c r="D33" t="s">
        <v>4</v>
      </c>
      <c r="E33" s="538">
        <f t="shared" si="6"/>
        <v>17801.045975054185</v>
      </c>
      <c r="F33" s="538">
        <f t="shared" si="4"/>
        <v>17801.045975054185</v>
      </c>
      <c r="G33" s="538">
        <f t="shared" si="4"/>
        <v>17801.045975054185</v>
      </c>
      <c r="H33" s="538">
        <f t="shared" si="4"/>
        <v>17801.045975054185</v>
      </c>
      <c r="I33" s="538">
        <f t="shared" si="4"/>
        <v>17801.045975054185</v>
      </c>
      <c r="J33" s="538">
        <f t="shared" si="4"/>
        <v>17801.045975054185</v>
      </c>
      <c r="K33" s="538">
        <f t="shared" si="4"/>
        <v>17801.045975054185</v>
      </c>
      <c r="L33" s="538">
        <f t="shared" si="4"/>
        <v>17801.045975054185</v>
      </c>
      <c r="M33" s="538">
        <f t="shared" si="4"/>
        <v>17801.045975054185</v>
      </c>
      <c r="N33" s="538">
        <f t="shared" si="4"/>
        <v>17801.045975054185</v>
      </c>
      <c r="O33" s="538">
        <f t="shared" si="4"/>
        <v>17801.045975054185</v>
      </c>
      <c r="P33" s="538">
        <f t="shared" si="4"/>
        <v>17801.045975054185</v>
      </c>
      <c r="Q33" s="538">
        <f t="shared" si="4"/>
        <v>17801.045975054185</v>
      </c>
      <c r="R33" s="538">
        <f t="shared" si="4"/>
        <v>17801.045975054185</v>
      </c>
      <c r="S33" s="538">
        <f t="shared" si="4"/>
        <v>17801.045975054185</v>
      </c>
      <c r="T33" s="538">
        <f t="shared" si="4"/>
        <v>17801.045975054185</v>
      </c>
      <c r="U33" s="538">
        <f t="shared" si="4"/>
        <v>17801.045975054185</v>
      </c>
      <c r="V33" s="538">
        <f t="shared" si="5"/>
        <v>17801.045975054185</v>
      </c>
      <c r="W33" s="538">
        <f t="shared" si="5"/>
        <v>17801.045975054185</v>
      </c>
      <c r="X33" s="538">
        <f t="shared" si="5"/>
        <v>17801.045975054185</v>
      </c>
      <c r="Y33" s="538"/>
      <c r="Z33" s="538" t="str">
        <f t="shared" si="7"/>
        <v>Energy Efficient Lighting - Idaho TieStall</v>
      </c>
      <c r="AA33" s="539">
        <f t="shared" si="8"/>
        <v>15130.889078796057</v>
      </c>
    </row>
    <row r="34" spans="1:27">
      <c r="A34" s="541">
        <f>INDEX([1]APPLIC!$B$8:$F$67,MATCH(CONCATENATE($C34," - ",$B34),[1]APPLIC!$B$9:$B$67,0)+1,MATCH($D34,[1]APPLIC!$C$8:$F$8,0)+1)</f>
        <v>2.5000000000000022E-3</v>
      </c>
      <c r="B34" s="542" t="s">
        <v>508</v>
      </c>
      <c r="C34" s="530" t="s">
        <v>137</v>
      </c>
      <c r="D34" t="s">
        <v>28</v>
      </c>
      <c r="E34" s="538">
        <f ca="1">$A34*VLOOKUP(CONCATENATE($D34," ",$B34),$B$13:$X$20,E$26+1,FALSE)</f>
        <v>191.52175939966713</v>
      </c>
      <c r="F34" s="538">
        <f t="shared" ca="1" si="4"/>
        <v>191.90433960681253</v>
      </c>
      <c r="G34" s="538">
        <f t="shared" ca="1" si="4"/>
        <v>191.90742613769368</v>
      </c>
      <c r="H34" s="538">
        <f t="shared" ca="1" si="4"/>
        <v>192.19161301642714</v>
      </c>
      <c r="I34" s="538">
        <f t="shared" ca="1" si="4"/>
        <v>192.07790799648552</v>
      </c>
      <c r="J34" s="538">
        <f t="shared" ca="1" si="4"/>
        <v>191.96978497504313</v>
      </c>
      <c r="K34" s="538">
        <f t="shared" ca="1" si="4"/>
        <v>192.22288994101962</v>
      </c>
      <c r="L34" s="538">
        <f t="shared" ca="1" si="4"/>
        <v>192.40677244986512</v>
      </c>
      <c r="M34" s="538">
        <f t="shared" ca="1" si="4"/>
        <v>191.94607771769944</v>
      </c>
      <c r="N34" s="538">
        <f t="shared" ca="1" si="4"/>
        <v>191.91607773149249</v>
      </c>
      <c r="O34" s="538">
        <f t="shared" ca="1" si="4"/>
        <v>191.918145460895</v>
      </c>
      <c r="P34" s="538">
        <f t="shared" ca="1" si="4"/>
        <v>190.72282552111054</v>
      </c>
      <c r="Q34" s="538">
        <f t="shared" ca="1" si="4"/>
        <v>190.58719873255777</v>
      </c>
      <c r="R34" s="538">
        <f t="shared" ca="1" si="4"/>
        <v>190.31855605867327</v>
      </c>
      <c r="S34" s="538">
        <f t="shared" ca="1" si="4"/>
        <v>189.90114858131716</v>
      </c>
      <c r="T34" s="538">
        <f t="shared" ca="1" si="4"/>
        <v>189.40052035791061</v>
      </c>
      <c r="U34" s="538">
        <f t="shared" ca="1" si="4"/>
        <v>189.39966104621524</v>
      </c>
      <c r="V34" s="538">
        <f t="shared" ca="1" si="5"/>
        <v>188.67481935691302</v>
      </c>
      <c r="W34" s="538">
        <f t="shared" ca="1" si="5"/>
        <v>187.97175547343357</v>
      </c>
      <c r="X34" s="538">
        <f t="shared" ca="1" si="5"/>
        <v>187.97947183339619</v>
      </c>
      <c r="Y34" s="538"/>
      <c r="Z34" s="538" t="str">
        <f t="shared" si="7"/>
        <v>VSD - Vacuum Pump - Montana FreeStall</v>
      </c>
      <c r="AA34" s="539">
        <f t="shared" ca="1" si="8"/>
        <v>159.78255105838676</v>
      </c>
    </row>
    <row r="35" spans="1:27">
      <c r="A35" s="541">
        <f>INDEX([1]APPLIC!$B$8:$F$67,MATCH(CONCATENATE($C35," - ",$B35),[1]APPLIC!$B$9:$B$67,0)+1,MATCH($D35,[1]APPLIC!$C$8:$F$8,0)+1)</f>
        <v>4.7500000000000042E-2</v>
      </c>
      <c r="B35" s="542" t="s">
        <v>508</v>
      </c>
      <c r="C35" s="530" t="s">
        <v>138</v>
      </c>
      <c r="D35" t="s">
        <v>28</v>
      </c>
      <c r="E35" s="538">
        <f t="shared" ca="1" si="6"/>
        <v>3638.9134285936752</v>
      </c>
      <c r="F35" s="538">
        <f t="shared" ca="1" si="4"/>
        <v>3646.1824525294378</v>
      </c>
      <c r="G35" s="538">
        <f t="shared" ca="1" si="4"/>
        <v>3646.2410966161801</v>
      </c>
      <c r="H35" s="538">
        <f t="shared" ca="1" si="4"/>
        <v>3651.6406473121156</v>
      </c>
      <c r="I35" s="538">
        <f t="shared" ca="1" si="4"/>
        <v>3649.4802519332247</v>
      </c>
      <c r="J35" s="538">
        <f t="shared" ca="1" si="4"/>
        <v>3647.4259145258197</v>
      </c>
      <c r="K35" s="538">
        <f t="shared" ca="1" si="4"/>
        <v>3652.2349088793731</v>
      </c>
      <c r="L35" s="538">
        <f t="shared" ca="1" si="4"/>
        <v>3655.7286765474373</v>
      </c>
      <c r="M35" s="538">
        <f t="shared" ca="1" si="4"/>
        <v>3646.9754766362894</v>
      </c>
      <c r="N35" s="538">
        <f t="shared" ca="1" si="4"/>
        <v>3646.4054768983574</v>
      </c>
      <c r="O35" s="538">
        <f t="shared" ca="1" si="4"/>
        <v>3646.4447637570051</v>
      </c>
      <c r="P35" s="538">
        <f t="shared" ca="1" si="4"/>
        <v>3623.7336849010999</v>
      </c>
      <c r="Q35" s="538">
        <f t="shared" ca="1" si="4"/>
        <v>3621.1567759185973</v>
      </c>
      <c r="R35" s="538">
        <f t="shared" ca="1" si="4"/>
        <v>3616.0525651147918</v>
      </c>
      <c r="S35" s="538">
        <f t="shared" ca="1" si="4"/>
        <v>3608.1218230450258</v>
      </c>
      <c r="T35" s="538">
        <f t="shared" ca="1" si="4"/>
        <v>3598.6098868003014</v>
      </c>
      <c r="U35" s="538">
        <f t="shared" ca="1" si="4"/>
        <v>3598.5935598780898</v>
      </c>
      <c r="V35" s="538">
        <f t="shared" ca="1" si="5"/>
        <v>3584.8215677813473</v>
      </c>
      <c r="W35" s="538">
        <f t="shared" ca="1" si="5"/>
        <v>3571.4633539952379</v>
      </c>
      <c r="X35" s="538">
        <f t="shared" ca="1" si="5"/>
        <v>3571.6099648345275</v>
      </c>
      <c r="Y35" s="538"/>
      <c r="Z35" s="538" t="str">
        <f t="shared" si="7"/>
        <v>Plate Milk Pre-cooler - Montana FreeStall</v>
      </c>
      <c r="AA35" s="539">
        <f t="shared" ca="1" si="8"/>
        <v>3035.8684701093484</v>
      </c>
    </row>
    <row r="36" spans="1:27">
      <c r="A36" s="541">
        <f>INDEX([1]APPLIC!$B$8:$F$67,MATCH(CONCATENATE($C36," - ",$B36),[1]APPLIC!$B$9:$B$67,0)+1,MATCH($D36,[1]APPLIC!$C$8:$F$8,0)+1)</f>
        <v>0.22596247328595939</v>
      </c>
      <c r="B36" s="542" t="s">
        <v>508</v>
      </c>
      <c r="C36" s="530" t="s">
        <v>139</v>
      </c>
      <c r="D36" t="s">
        <v>28</v>
      </c>
      <c r="E36" s="538">
        <f t="shared" ca="1" si="6"/>
        <v>17310.692176810873</v>
      </c>
      <c r="F36" s="538">
        <f t="shared" ca="1" si="4"/>
        <v>17345.271684745607</v>
      </c>
      <c r="G36" s="538">
        <f t="shared" ca="1" si="4"/>
        <v>17345.550660806319</v>
      </c>
      <c r="H36" s="538">
        <f t="shared" ca="1" si="4"/>
        <v>17371.236888803931</v>
      </c>
      <c r="I36" s="538">
        <f t="shared" ca="1" si="4"/>
        <v>17360.959661791512</v>
      </c>
      <c r="J36" s="538">
        <f t="shared" ca="1" si="4"/>
        <v>17351.186963653807</v>
      </c>
      <c r="K36" s="538">
        <f t="shared" ca="1" si="4"/>
        <v>17374.063853299009</v>
      </c>
      <c r="L36" s="538">
        <f t="shared" ca="1" si="4"/>
        <v>17390.68407189611</v>
      </c>
      <c r="M36" s="538">
        <f t="shared" ca="1" si="4"/>
        <v>17349.044183452123</v>
      </c>
      <c r="N36" s="538">
        <f t="shared" ca="1" si="4"/>
        <v>17346.332635019378</v>
      </c>
      <c r="O36" s="538">
        <f t="shared" ca="1" si="4"/>
        <v>17346.519526719327</v>
      </c>
      <c r="P36" s="538">
        <f t="shared" ca="1" si="4"/>
        <v>17238.480546734638</v>
      </c>
      <c r="Q36" s="538">
        <f t="shared" ca="1" si="4"/>
        <v>17226.221920900553</v>
      </c>
      <c r="R36" s="538">
        <f t="shared" ca="1" si="4"/>
        <v>17201.940655692113</v>
      </c>
      <c r="S36" s="538">
        <f t="shared" ca="1" si="4"/>
        <v>17164.21328531154</v>
      </c>
      <c r="T36" s="538">
        <f t="shared" ca="1" si="4"/>
        <v>17118.964008688457</v>
      </c>
      <c r="U36" s="538">
        <f t="shared" ca="1" si="4"/>
        <v>17118.886339810055</v>
      </c>
      <c r="V36" s="538">
        <f t="shared" ca="1" si="5"/>
        <v>17053.371531467852</v>
      </c>
      <c r="W36" s="538">
        <f t="shared" ca="1" si="5"/>
        <v>16989.825109872236</v>
      </c>
      <c r="X36" s="538">
        <f t="shared" ca="1" si="5"/>
        <v>16990.522552985003</v>
      </c>
      <c r="Y36" s="538"/>
      <c r="Z36" s="538" t="str">
        <f t="shared" si="7"/>
        <v>Energy Efficient Lighting - Montana FreeStall</v>
      </c>
      <c r="AA36" s="539">
        <f t="shared" ca="1" si="8"/>
        <v>14441.944170037252</v>
      </c>
    </row>
    <row r="37" spans="1:27">
      <c r="A37" s="541">
        <f>INDEX([1]APPLIC!$B$8:$F$67,MATCH(CONCATENATE($C37," - ",$B37),[1]APPLIC!$B$9:$B$67,0)+1,MATCH($D37,[1]APPLIC!$C$8:$F$8,0)+1)</f>
        <v>0.1604247304551811</v>
      </c>
      <c r="B37" s="542" t="s">
        <v>130</v>
      </c>
      <c r="C37" s="530" t="s">
        <v>137</v>
      </c>
      <c r="D37" t="s">
        <v>28</v>
      </c>
      <c r="E37" s="538">
        <f t="shared" si="6"/>
        <v>2267.8589708978252</v>
      </c>
      <c r="F37" s="538">
        <f t="shared" si="4"/>
        <v>2267.8589708978252</v>
      </c>
      <c r="G37" s="538">
        <f t="shared" si="4"/>
        <v>2267.8589708978252</v>
      </c>
      <c r="H37" s="538">
        <f t="shared" si="4"/>
        <v>2267.8589708978252</v>
      </c>
      <c r="I37" s="538">
        <f t="shared" si="4"/>
        <v>2267.8589708978252</v>
      </c>
      <c r="J37" s="538">
        <f t="shared" si="4"/>
        <v>2267.8589708978252</v>
      </c>
      <c r="K37" s="538">
        <f t="shared" si="4"/>
        <v>2267.8589708978252</v>
      </c>
      <c r="L37" s="538">
        <f t="shared" si="4"/>
        <v>2267.8589708978252</v>
      </c>
      <c r="M37" s="538">
        <f t="shared" si="4"/>
        <v>2267.8589708978252</v>
      </c>
      <c r="N37" s="538">
        <f t="shared" si="4"/>
        <v>2267.8589708978252</v>
      </c>
      <c r="O37" s="538">
        <f t="shared" si="4"/>
        <v>2267.8589708978252</v>
      </c>
      <c r="P37" s="538">
        <f t="shared" si="4"/>
        <v>2267.8589708978252</v>
      </c>
      <c r="Q37" s="538">
        <f t="shared" si="4"/>
        <v>2267.8589708978252</v>
      </c>
      <c r="R37" s="538">
        <f t="shared" si="4"/>
        <v>2267.8589708978252</v>
      </c>
      <c r="S37" s="538">
        <f t="shared" si="4"/>
        <v>2267.8589708978252</v>
      </c>
      <c r="T37" s="538">
        <f t="shared" si="4"/>
        <v>2267.8589708978252</v>
      </c>
      <c r="U37" s="538">
        <f t="shared" si="4"/>
        <v>2267.8589708978252</v>
      </c>
      <c r="V37" s="538">
        <f t="shared" si="5"/>
        <v>2267.8589708978252</v>
      </c>
      <c r="W37" s="538">
        <f t="shared" si="5"/>
        <v>2267.8589708978252</v>
      </c>
      <c r="X37" s="538">
        <f t="shared" si="5"/>
        <v>2267.8589708978252</v>
      </c>
      <c r="Y37" s="538"/>
      <c r="Z37" s="538" t="str">
        <f t="shared" si="7"/>
        <v>VSD - Vacuum Pump - Montana TieStall</v>
      </c>
      <c r="AA37" s="539">
        <f t="shared" si="8"/>
        <v>1927.6801252631515</v>
      </c>
    </row>
    <row r="38" spans="1:27">
      <c r="A38" s="541">
        <f>INDEX([1]APPLIC!$B$8:$F$67,MATCH(CONCATENATE($C38," - ",$B38),[1]APPLIC!$B$9:$B$67,0)+1,MATCH($D38,[1]APPLIC!$C$8:$F$8,0)+1)</f>
        <v>0.84147877475526689</v>
      </c>
      <c r="B38" s="542" t="s">
        <v>130</v>
      </c>
      <c r="C38" s="530" t="s">
        <v>64</v>
      </c>
      <c r="D38" t="s">
        <v>28</v>
      </c>
      <c r="E38" s="538">
        <f t="shared" si="6"/>
        <v>11895.642166480011</v>
      </c>
      <c r="F38" s="538">
        <f t="shared" si="4"/>
        <v>11895.642166480011</v>
      </c>
      <c r="G38" s="538">
        <f t="shared" si="4"/>
        <v>11895.642166480011</v>
      </c>
      <c r="H38" s="538">
        <f t="shared" si="4"/>
        <v>11895.642166480011</v>
      </c>
      <c r="I38" s="538">
        <f t="shared" si="4"/>
        <v>11895.642166480011</v>
      </c>
      <c r="J38" s="538">
        <f t="shared" si="4"/>
        <v>11895.642166480011</v>
      </c>
      <c r="K38" s="538">
        <f t="shared" si="4"/>
        <v>11895.642166480011</v>
      </c>
      <c r="L38" s="538">
        <f t="shared" si="4"/>
        <v>11895.642166480011</v>
      </c>
      <c r="M38" s="538">
        <f t="shared" si="4"/>
        <v>11895.642166480011</v>
      </c>
      <c r="N38" s="538">
        <f t="shared" si="4"/>
        <v>11895.642166480011</v>
      </c>
      <c r="O38" s="538">
        <f t="shared" si="4"/>
        <v>11895.642166480011</v>
      </c>
      <c r="P38" s="538">
        <f t="shared" si="4"/>
        <v>11895.642166480011</v>
      </c>
      <c r="Q38" s="538">
        <f t="shared" si="4"/>
        <v>11895.642166480011</v>
      </c>
      <c r="R38" s="538">
        <f t="shared" si="4"/>
        <v>11895.642166480011</v>
      </c>
      <c r="S38" s="538">
        <f t="shared" si="4"/>
        <v>11895.642166480011</v>
      </c>
      <c r="T38" s="538">
        <f t="shared" si="4"/>
        <v>11895.642166480011</v>
      </c>
      <c r="U38" s="538">
        <f t="shared" si="4"/>
        <v>11895.642166480011</v>
      </c>
      <c r="V38" s="538">
        <f t="shared" si="5"/>
        <v>11895.642166480011</v>
      </c>
      <c r="W38" s="538">
        <f t="shared" si="5"/>
        <v>11895.642166480011</v>
      </c>
      <c r="X38" s="538">
        <f t="shared" si="5"/>
        <v>11895.642166480011</v>
      </c>
      <c r="Y38" s="538"/>
      <c r="Z38" s="538" t="str">
        <f t="shared" si="7"/>
        <v>Heat Recovery Refrigeration - Montana TieStall</v>
      </c>
      <c r="AA38" s="539">
        <f t="shared" si="8"/>
        <v>10111.29584150801</v>
      </c>
    </row>
    <row r="39" spans="1:27">
      <c r="A39" s="541">
        <f>INDEX([1]APPLIC!$B$8:$F$67,MATCH(CONCATENATE($C39," - ",$B39),[1]APPLIC!$B$9:$B$67,0)+1,MATCH($D39,[1]APPLIC!$C$8:$F$8,0)+1)</f>
        <v>0.539760454730004</v>
      </c>
      <c r="B39" s="542" t="s">
        <v>130</v>
      </c>
      <c r="C39" s="530" t="s">
        <v>56</v>
      </c>
      <c r="D39" t="s">
        <v>28</v>
      </c>
      <c r="E39" s="538">
        <f t="shared" si="6"/>
        <v>7630.3733590334059</v>
      </c>
      <c r="F39" s="538">
        <f t="shared" si="4"/>
        <v>7630.3733590334059</v>
      </c>
      <c r="G39" s="538">
        <f t="shared" si="4"/>
        <v>7630.3733590334059</v>
      </c>
      <c r="H39" s="538">
        <f t="shared" si="4"/>
        <v>7630.3733590334059</v>
      </c>
      <c r="I39" s="538">
        <f t="shared" si="4"/>
        <v>7630.3733590334059</v>
      </c>
      <c r="J39" s="538">
        <f t="shared" si="4"/>
        <v>7630.3733590334059</v>
      </c>
      <c r="K39" s="538">
        <f t="shared" si="4"/>
        <v>7630.3733590334059</v>
      </c>
      <c r="L39" s="538">
        <f t="shared" si="4"/>
        <v>7630.3733590334059</v>
      </c>
      <c r="M39" s="538">
        <f t="shared" si="4"/>
        <v>7630.3733590334059</v>
      </c>
      <c r="N39" s="538">
        <f t="shared" si="4"/>
        <v>7630.3733590334059</v>
      </c>
      <c r="O39" s="538">
        <f t="shared" si="4"/>
        <v>7630.3733590334059</v>
      </c>
      <c r="P39" s="538">
        <f t="shared" si="4"/>
        <v>7630.3733590334059</v>
      </c>
      <c r="Q39" s="538">
        <f t="shared" si="4"/>
        <v>7630.3733590334059</v>
      </c>
      <c r="R39" s="538">
        <f t="shared" si="4"/>
        <v>7630.3733590334059</v>
      </c>
      <c r="S39" s="538">
        <f t="shared" si="4"/>
        <v>7630.3733590334059</v>
      </c>
      <c r="T39" s="538">
        <f t="shared" si="4"/>
        <v>7630.3733590334059</v>
      </c>
      <c r="U39" s="538">
        <f t="shared" si="4"/>
        <v>7630.3733590334059</v>
      </c>
      <c r="V39" s="538">
        <f t="shared" si="5"/>
        <v>7630.3733590334059</v>
      </c>
      <c r="W39" s="538">
        <f t="shared" si="5"/>
        <v>7630.3733590334059</v>
      </c>
      <c r="X39" s="538">
        <f t="shared" si="5"/>
        <v>7630.3733590334059</v>
      </c>
      <c r="Y39" s="538"/>
      <c r="Z39" s="538" t="str">
        <f t="shared" si="7"/>
        <v>Plate Milk Pre-Cooler - Montana TieStall</v>
      </c>
      <c r="AA39" s="539">
        <f t="shared" si="8"/>
        <v>6485.8173551783957</v>
      </c>
    </row>
    <row r="40" spans="1:27">
      <c r="A40" s="541">
        <f>INDEX([1]APPLIC!$B$8:$F$67,MATCH(CONCATENATE($C40," - ",$B40),[1]APPLIC!$B$9:$B$67,0)+1,MATCH($D40,[1]APPLIC!$C$8:$F$8,0)+1)</f>
        <v>7.1883204763838152E-2</v>
      </c>
      <c r="B40" s="542" t="s">
        <v>130</v>
      </c>
      <c r="C40" s="530" t="s">
        <v>139</v>
      </c>
      <c r="D40" t="s">
        <v>28</v>
      </c>
      <c r="E40" s="538">
        <f t="shared" si="6"/>
        <v>1016.1835417644654</v>
      </c>
      <c r="F40" s="538">
        <f t="shared" si="4"/>
        <v>1016.1835417644654</v>
      </c>
      <c r="G40" s="538">
        <f t="shared" si="4"/>
        <v>1016.1835417644654</v>
      </c>
      <c r="H40" s="538">
        <f t="shared" si="4"/>
        <v>1016.1835417644654</v>
      </c>
      <c r="I40" s="538">
        <f t="shared" si="4"/>
        <v>1016.1835417644654</v>
      </c>
      <c r="J40" s="538">
        <f t="shared" si="4"/>
        <v>1016.1835417644654</v>
      </c>
      <c r="K40" s="538">
        <f t="shared" si="4"/>
        <v>1016.1835417644654</v>
      </c>
      <c r="L40" s="538">
        <f t="shared" si="4"/>
        <v>1016.1835417644654</v>
      </c>
      <c r="M40" s="538">
        <f t="shared" si="4"/>
        <v>1016.1835417644654</v>
      </c>
      <c r="N40" s="538">
        <f t="shared" si="4"/>
        <v>1016.1835417644654</v>
      </c>
      <c r="O40" s="538">
        <f t="shared" si="4"/>
        <v>1016.1835417644654</v>
      </c>
      <c r="P40" s="538">
        <f t="shared" si="4"/>
        <v>1016.1835417644654</v>
      </c>
      <c r="Q40" s="538">
        <f t="shared" si="4"/>
        <v>1016.1835417644654</v>
      </c>
      <c r="R40" s="538">
        <f t="shared" si="4"/>
        <v>1016.1835417644654</v>
      </c>
      <c r="S40" s="538">
        <f t="shared" si="4"/>
        <v>1016.1835417644654</v>
      </c>
      <c r="T40" s="538">
        <f t="shared" si="4"/>
        <v>1016.1835417644654</v>
      </c>
      <c r="U40" s="538">
        <f t="shared" si="4"/>
        <v>1016.1835417644654</v>
      </c>
      <c r="V40" s="538">
        <f t="shared" si="5"/>
        <v>1016.1835417644654</v>
      </c>
      <c r="W40" s="538">
        <f t="shared" si="5"/>
        <v>1016.1835417644654</v>
      </c>
      <c r="X40" s="538">
        <f t="shared" si="5"/>
        <v>1016.1835417644654</v>
      </c>
      <c r="Y40" s="538"/>
      <c r="Z40" s="538" t="str">
        <f t="shared" si="7"/>
        <v>Energy Efficient Lighting - Montana TieStall</v>
      </c>
      <c r="AA40" s="539">
        <f t="shared" si="8"/>
        <v>863.75601049979559</v>
      </c>
    </row>
    <row r="41" spans="1:27">
      <c r="A41" s="541">
        <f>INDEX([1]APPLIC!$B$8:$F$67,MATCH(CONCATENATE($C41," - ",$B41),[1]APPLIC!$B$9:$B$67,0)+1,MATCH($D41,[1]APPLIC!$C$8:$F$8,0)+1)</f>
        <v>2.5000000000000022E-3</v>
      </c>
      <c r="B41" s="542" t="s">
        <v>508</v>
      </c>
      <c r="C41" s="530" t="s">
        <v>137</v>
      </c>
      <c r="D41" t="s">
        <v>29</v>
      </c>
      <c r="E41" s="538">
        <f ca="1">$A41*VLOOKUP(CONCATENATE($D41," ",$B41),$B$13:$X$20,E$26+1,FALSE)</f>
        <v>6645.3163061636351</v>
      </c>
      <c r="F41" s="538">
        <f t="shared" ca="1" si="4"/>
        <v>6738.178218784883</v>
      </c>
      <c r="G41" s="538">
        <f t="shared" ca="1" si="4"/>
        <v>6829.3720712554432</v>
      </c>
      <c r="H41" s="538">
        <f t="shared" ca="1" si="4"/>
        <v>6915.9816262526247</v>
      </c>
      <c r="I41" s="538">
        <f t="shared" ca="1" si="4"/>
        <v>7003.0408734827415</v>
      </c>
      <c r="J41" s="538">
        <f t="shared" ca="1" si="4"/>
        <v>7092.8787248209755</v>
      </c>
      <c r="K41" s="538">
        <f t="shared" ca="1" si="4"/>
        <v>7194.54420482567</v>
      </c>
      <c r="L41" s="538">
        <f t="shared" ca="1" si="4"/>
        <v>7304.6864193053989</v>
      </c>
      <c r="M41" s="538">
        <f t="shared" ca="1" si="4"/>
        <v>7421.0115891390751</v>
      </c>
      <c r="N41" s="538">
        <f t="shared" ca="1" si="4"/>
        <v>7543.0458057915575</v>
      </c>
      <c r="O41" s="538">
        <f t="shared" ca="1" si="4"/>
        <v>7673.0965348547679</v>
      </c>
      <c r="P41" s="538">
        <f t="shared" ca="1" si="4"/>
        <v>7797.9098860942131</v>
      </c>
      <c r="Q41" s="538">
        <f t="shared" ca="1" si="4"/>
        <v>7922.5614026818503</v>
      </c>
      <c r="R41" s="538">
        <f t="shared" ca="1" si="4"/>
        <v>8045.3863323110281</v>
      </c>
      <c r="S41" s="538">
        <f t="shared" ca="1" si="4"/>
        <v>8184.1470658435874</v>
      </c>
      <c r="T41" s="538">
        <f t="shared" ca="1" si="4"/>
        <v>8297.51622008511</v>
      </c>
      <c r="U41" s="538">
        <f t="shared" ca="1" si="4"/>
        <v>8420.2780669258173</v>
      </c>
      <c r="V41" s="538">
        <f t="shared" ca="1" si="5"/>
        <v>8557.866315011066</v>
      </c>
      <c r="W41" s="538">
        <f t="shared" ca="1" si="5"/>
        <v>8677.9316314884891</v>
      </c>
      <c r="X41" s="538">
        <f t="shared" ca="1" si="5"/>
        <v>8810.7590937236801</v>
      </c>
      <c r="Y41" s="538"/>
      <c r="Z41" s="538" t="str">
        <f t="shared" si="7"/>
        <v>VSD - Vacuum Pump - Oregon FreeStall</v>
      </c>
      <c r="AA41" s="539">
        <f t="shared" ca="1" si="8"/>
        <v>7489.1452296651278</v>
      </c>
    </row>
    <row r="42" spans="1:27">
      <c r="A42" s="541">
        <f>INDEX([1]APPLIC!$B$8:$F$67,MATCH(CONCATENATE($C42," - ",$B42),[1]APPLIC!$B$9:$B$67,0)+1,MATCH($D42,[1]APPLIC!$C$8:$F$8,0)+1)</f>
        <v>4.7500000000000042E-2</v>
      </c>
      <c r="B42" s="542" t="s">
        <v>508</v>
      </c>
      <c r="C42" s="530" t="s">
        <v>138</v>
      </c>
      <c r="D42" t="s">
        <v>29</v>
      </c>
      <c r="E42" s="538">
        <f t="shared" ca="1" si="6"/>
        <v>126261.00981710906</v>
      </c>
      <c r="F42" s="538">
        <f t="shared" ca="1" si="4"/>
        <v>128025.38615691278</v>
      </c>
      <c r="G42" s="538">
        <f t="shared" ca="1" si="4"/>
        <v>129758.06935385343</v>
      </c>
      <c r="H42" s="538">
        <f t="shared" ca="1" si="4"/>
        <v>131403.65089879985</v>
      </c>
      <c r="I42" s="538">
        <f t="shared" ca="1" si="4"/>
        <v>133057.77659617207</v>
      </c>
      <c r="J42" s="538">
        <f t="shared" ca="1" si="4"/>
        <v>134764.69577159852</v>
      </c>
      <c r="K42" s="538">
        <f t="shared" ca="1" si="4"/>
        <v>136696.33989168773</v>
      </c>
      <c r="L42" s="538">
        <f t="shared" ca="1" si="4"/>
        <v>138789.04196680259</v>
      </c>
      <c r="M42" s="538">
        <f t="shared" ca="1" si="4"/>
        <v>140999.22019364242</v>
      </c>
      <c r="N42" s="538">
        <f t="shared" ca="1" si="4"/>
        <v>143317.87031003961</v>
      </c>
      <c r="O42" s="538">
        <f t="shared" ca="1" si="4"/>
        <v>145788.83416224059</v>
      </c>
      <c r="P42" s="538">
        <f t="shared" ca="1" si="4"/>
        <v>148160.28783579005</v>
      </c>
      <c r="Q42" s="538">
        <f t="shared" ca="1" si="4"/>
        <v>150528.66665095516</v>
      </c>
      <c r="R42" s="538">
        <f t="shared" ca="1" si="4"/>
        <v>152862.34031390955</v>
      </c>
      <c r="S42" s="538">
        <f t="shared" ca="1" si="4"/>
        <v>155498.79425102816</v>
      </c>
      <c r="T42" s="538">
        <f t="shared" ca="1" si="4"/>
        <v>157652.80818161709</v>
      </c>
      <c r="U42" s="538">
        <f t="shared" ref="U42:X54" ca="1" si="9">$A42*VLOOKUP(CONCATENATE($D42," ",$B42),$B$13:$X$20,U$26+1,FALSE)</f>
        <v>159985.28327159054</v>
      </c>
      <c r="V42" s="538">
        <f t="shared" ca="1" si="5"/>
        <v>162599.45998521027</v>
      </c>
      <c r="W42" s="538">
        <f t="shared" ca="1" si="5"/>
        <v>164880.70099828127</v>
      </c>
      <c r="X42" s="538">
        <f t="shared" ca="1" si="5"/>
        <v>167404.42278074991</v>
      </c>
      <c r="Y42" s="538"/>
      <c r="Z42" s="538" t="str">
        <f t="shared" si="7"/>
        <v>Plate Milk Pre-cooler - Oregon FreeStall</v>
      </c>
      <c r="AA42" s="539">
        <f t="shared" ca="1" si="8"/>
        <v>142293.75936363742</v>
      </c>
    </row>
    <row r="43" spans="1:27">
      <c r="A43" s="541">
        <f>INDEX([1]APPLIC!$B$8:$F$67,MATCH(CONCATENATE($C43," - ",$B43),[1]APPLIC!$B$9:$B$67,0)+1,MATCH($D43,[1]APPLIC!$C$8:$F$8,0)+1)</f>
        <v>0.22596247328595939</v>
      </c>
      <c r="B43" s="542" t="s">
        <v>508</v>
      </c>
      <c r="C43" s="530" t="s">
        <v>139</v>
      </c>
      <c r="D43" t="s">
        <v>29</v>
      </c>
      <c r="E43" s="538">
        <f t="shared" ca="1" si="6"/>
        <v>600636.84332329978</v>
      </c>
      <c r="F43" s="538">
        <f t="shared" ca="1" si="6"/>
        <v>609030.16630328447</v>
      </c>
      <c r="G43" s="538">
        <f t="shared" ca="1" si="6"/>
        <v>617272.72168437357</v>
      </c>
      <c r="H43" s="538">
        <f t="shared" ca="1" si="6"/>
        <v>625100.92538731731</v>
      </c>
      <c r="I43" s="538">
        <f t="shared" ca="1" si="6"/>
        <v>632969.77451792965</v>
      </c>
      <c r="J43" s="538">
        <f t="shared" ca="1" si="6"/>
        <v>641089.76775116322</v>
      </c>
      <c r="K43" s="538">
        <f t="shared" ca="1" si="6"/>
        <v>650278.80107502919</v>
      </c>
      <c r="L43" s="538">
        <f t="shared" ca="1" si="6"/>
        <v>660234.0039538421</v>
      </c>
      <c r="M43" s="538">
        <f t="shared" ca="1" si="6"/>
        <v>670748.05318625271</v>
      </c>
      <c r="N43" s="538">
        <f t="shared" ca="1" si="6"/>
        <v>681778.11455437657</v>
      </c>
      <c r="O43" s="538">
        <f t="shared" ca="1" si="6"/>
        <v>693532.7483110826</v>
      </c>
      <c r="P43" s="538">
        <f t="shared" ca="1" si="6"/>
        <v>704814.00172915228</v>
      </c>
      <c r="Q43" s="538">
        <f t="shared" ca="1" si="6"/>
        <v>716080.62772394763</v>
      </c>
      <c r="R43" s="538">
        <f t="shared" ca="1" si="6"/>
        <v>727182.15767602075</v>
      </c>
      <c r="S43" s="538">
        <f t="shared" ca="1" si="6"/>
        <v>739724.04509361717</v>
      </c>
      <c r="T43" s="538">
        <f t="shared" ca="1" si="6"/>
        <v>749970.91488831793</v>
      </c>
      <c r="U43" s="538">
        <f t="shared" ca="1" si="9"/>
        <v>761066.74310322932</v>
      </c>
      <c r="V43" s="538">
        <f t="shared" ca="1" si="9"/>
        <v>773502.65543619927</v>
      </c>
      <c r="W43" s="538">
        <f t="shared" ca="1" si="9"/>
        <v>784354.75778303912</v>
      </c>
      <c r="X43" s="538">
        <f t="shared" ca="1" si="9"/>
        <v>796360.36653782357</v>
      </c>
      <c r="Y43" s="538"/>
      <c r="Z43" s="538" t="str">
        <f t="shared" si="7"/>
        <v>Energy Efficient Lighting - Oregon FreeStall</v>
      </c>
      <c r="AA43" s="539">
        <f t="shared" ca="1" si="8"/>
        <v>676906.3115571501</v>
      </c>
    </row>
    <row r="44" spans="1:27">
      <c r="A44" s="541">
        <f>INDEX([1]APPLIC!$B$8:$F$67,MATCH(CONCATENATE($C44," - ",$B44),[1]APPLIC!$B$9:$B$67,0)+1,MATCH($D44,[1]APPLIC!$C$8:$F$8,0)+1)</f>
        <v>0.1604247304551811</v>
      </c>
      <c r="B44" s="542" t="s">
        <v>130</v>
      </c>
      <c r="C44" s="530" t="s">
        <v>137</v>
      </c>
      <c r="D44" t="s">
        <v>29</v>
      </c>
      <c r="E44" s="538">
        <f t="shared" ref="E44:T54" si="10">$A44*VLOOKUP(CONCATENATE($D44," ",$B44),$B$13:$X$20,E$26+1,FALSE)</f>
        <v>13805.194432108792</v>
      </c>
      <c r="F44" s="538">
        <f t="shared" si="10"/>
        <v>13805.194432108792</v>
      </c>
      <c r="G44" s="538">
        <f t="shared" si="10"/>
        <v>13805.194432108792</v>
      </c>
      <c r="H44" s="538">
        <f t="shared" si="10"/>
        <v>13805.194432108792</v>
      </c>
      <c r="I44" s="538">
        <f t="shared" si="10"/>
        <v>13805.194432108792</v>
      </c>
      <c r="J44" s="538">
        <f t="shared" si="10"/>
        <v>13805.194432108792</v>
      </c>
      <c r="K44" s="538">
        <f t="shared" si="10"/>
        <v>13805.194432108792</v>
      </c>
      <c r="L44" s="538">
        <f t="shared" si="10"/>
        <v>13805.194432108792</v>
      </c>
      <c r="M44" s="538">
        <f t="shared" si="10"/>
        <v>13805.194432108792</v>
      </c>
      <c r="N44" s="538">
        <f t="shared" si="10"/>
        <v>13805.194432108792</v>
      </c>
      <c r="O44" s="538">
        <f t="shared" si="10"/>
        <v>13805.194432108792</v>
      </c>
      <c r="P44" s="538">
        <f t="shared" si="10"/>
        <v>13805.194432108792</v>
      </c>
      <c r="Q44" s="538">
        <f t="shared" si="10"/>
        <v>13805.194432108792</v>
      </c>
      <c r="R44" s="538">
        <f t="shared" si="10"/>
        <v>13805.194432108792</v>
      </c>
      <c r="S44" s="538">
        <f t="shared" si="10"/>
        <v>13805.194432108792</v>
      </c>
      <c r="T44" s="538">
        <f t="shared" si="10"/>
        <v>13805.194432108792</v>
      </c>
      <c r="U44" s="538">
        <f t="shared" si="9"/>
        <v>13805.194432108792</v>
      </c>
      <c r="V44" s="538">
        <f t="shared" si="9"/>
        <v>13805.194432108792</v>
      </c>
      <c r="W44" s="538">
        <f t="shared" si="9"/>
        <v>13805.194432108792</v>
      </c>
      <c r="X44" s="538">
        <f t="shared" si="9"/>
        <v>13805.194432108792</v>
      </c>
      <c r="Y44" s="538"/>
      <c r="Z44" s="538" t="str">
        <f t="shared" si="7"/>
        <v>VSD - Vacuum Pump - Oregon TieStall</v>
      </c>
      <c r="AA44" s="539">
        <f t="shared" si="8"/>
        <v>11734.415267292474</v>
      </c>
    </row>
    <row r="45" spans="1:27">
      <c r="A45" s="541">
        <f>INDEX([1]APPLIC!$B$8:$F$67,MATCH(CONCATENATE($C45," - ",$B45),[1]APPLIC!$B$9:$B$67,0)+1,MATCH($D45,[1]APPLIC!$C$8:$F$8,0)+1)</f>
        <v>0.84147877475526689</v>
      </c>
      <c r="B45" s="542" t="s">
        <v>130</v>
      </c>
      <c r="C45" s="530" t="s">
        <v>64</v>
      </c>
      <c r="D45" t="s">
        <v>29</v>
      </c>
      <c r="E45" s="538">
        <f t="shared" si="10"/>
        <v>72412.639017863854</v>
      </c>
      <c r="F45" s="538">
        <f t="shared" si="10"/>
        <v>72412.639017863854</v>
      </c>
      <c r="G45" s="538">
        <f t="shared" si="10"/>
        <v>72412.639017863854</v>
      </c>
      <c r="H45" s="538">
        <f t="shared" si="10"/>
        <v>72412.639017863854</v>
      </c>
      <c r="I45" s="538">
        <f t="shared" si="10"/>
        <v>72412.639017863854</v>
      </c>
      <c r="J45" s="538">
        <f t="shared" si="10"/>
        <v>72412.639017863854</v>
      </c>
      <c r="K45" s="538">
        <f t="shared" si="10"/>
        <v>72412.639017863854</v>
      </c>
      <c r="L45" s="538">
        <f t="shared" si="10"/>
        <v>72412.639017863854</v>
      </c>
      <c r="M45" s="538">
        <f t="shared" si="10"/>
        <v>72412.639017863854</v>
      </c>
      <c r="N45" s="538">
        <f t="shared" si="10"/>
        <v>72412.639017863854</v>
      </c>
      <c r="O45" s="538">
        <f t="shared" si="10"/>
        <v>72412.639017863854</v>
      </c>
      <c r="P45" s="538">
        <f t="shared" si="10"/>
        <v>72412.639017863854</v>
      </c>
      <c r="Q45" s="538">
        <f t="shared" si="10"/>
        <v>72412.639017863854</v>
      </c>
      <c r="R45" s="538">
        <f t="shared" si="10"/>
        <v>72412.639017863854</v>
      </c>
      <c r="S45" s="538">
        <f t="shared" si="10"/>
        <v>72412.639017863854</v>
      </c>
      <c r="T45" s="538">
        <f t="shared" si="10"/>
        <v>72412.639017863854</v>
      </c>
      <c r="U45" s="538">
        <f t="shared" si="9"/>
        <v>72412.639017863854</v>
      </c>
      <c r="V45" s="538">
        <f t="shared" si="9"/>
        <v>72412.639017863854</v>
      </c>
      <c r="W45" s="538">
        <f t="shared" si="9"/>
        <v>72412.639017863854</v>
      </c>
      <c r="X45" s="538">
        <f t="shared" si="9"/>
        <v>72412.639017863854</v>
      </c>
      <c r="Y45" s="538"/>
      <c r="Z45" s="538" t="str">
        <f t="shared" si="7"/>
        <v>Heat Recovery Refrigeration - Oregon TieStall</v>
      </c>
      <c r="AA45" s="539">
        <f t="shared" si="8"/>
        <v>61550.743165184285</v>
      </c>
    </row>
    <row r="46" spans="1:27">
      <c r="A46" s="541">
        <f>INDEX([1]APPLIC!$B$8:$F$67,MATCH(CONCATENATE($C46," - ",$B46),[1]APPLIC!$B$9:$B$67,0)+1,MATCH($D46,[1]APPLIC!$C$8:$F$8,0)+1)</f>
        <v>0.539760454730004</v>
      </c>
      <c r="B46" s="542" t="s">
        <v>130</v>
      </c>
      <c r="C46" s="530" t="s">
        <v>56</v>
      </c>
      <c r="D46" t="s">
        <v>29</v>
      </c>
      <c r="E46" s="538">
        <f t="shared" si="10"/>
        <v>46448.561909181044</v>
      </c>
      <c r="F46" s="538">
        <f t="shared" si="10"/>
        <v>46448.561909181044</v>
      </c>
      <c r="G46" s="538">
        <f t="shared" si="10"/>
        <v>46448.561909181044</v>
      </c>
      <c r="H46" s="538">
        <f t="shared" si="10"/>
        <v>46448.561909181044</v>
      </c>
      <c r="I46" s="538">
        <f t="shared" si="10"/>
        <v>46448.561909181044</v>
      </c>
      <c r="J46" s="538">
        <f t="shared" si="10"/>
        <v>46448.561909181044</v>
      </c>
      <c r="K46" s="538">
        <f t="shared" si="10"/>
        <v>46448.561909181044</v>
      </c>
      <c r="L46" s="538">
        <f t="shared" si="10"/>
        <v>46448.561909181044</v>
      </c>
      <c r="M46" s="538">
        <f t="shared" si="10"/>
        <v>46448.561909181044</v>
      </c>
      <c r="N46" s="538">
        <f t="shared" si="10"/>
        <v>46448.561909181044</v>
      </c>
      <c r="O46" s="538">
        <f t="shared" si="10"/>
        <v>46448.561909181044</v>
      </c>
      <c r="P46" s="538">
        <f t="shared" si="10"/>
        <v>46448.561909181044</v>
      </c>
      <c r="Q46" s="538">
        <f t="shared" si="10"/>
        <v>46448.561909181044</v>
      </c>
      <c r="R46" s="538">
        <f t="shared" si="10"/>
        <v>46448.561909181044</v>
      </c>
      <c r="S46" s="538">
        <f t="shared" si="10"/>
        <v>46448.561909181044</v>
      </c>
      <c r="T46" s="538">
        <f t="shared" si="10"/>
        <v>46448.561909181044</v>
      </c>
      <c r="U46" s="538">
        <f t="shared" si="9"/>
        <v>46448.561909181044</v>
      </c>
      <c r="V46" s="538">
        <f t="shared" si="9"/>
        <v>46448.561909181044</v>
      </c>
      <c r="W46" s="538">
        <f t="shared" si="9"/>
        <v>46448.561909181044</v>
      </c>
      <c r="X46" s="538">
        <f t="shared" si="9"/>
        <v>46448.561909181044</v>
      </c>
      <c r="Y46" s="538"/>
      <c r="Z46" s="538" t="str">
        <f t="shared" si="7"/>
        <v>Plate Milk Pre-Cooler - Oregon TieStall</v>
      </c>
      <c r="AA46" s="539">
        <f t="shared" si="8"/>
        <v>39481.277622803893</v>
      </c>
    </row>
    <row r="47" spans="1:27">
      <c r="A47" s="541">
        <f>INDEX([1]APPLIC!$B$8:$F$67,MATCH(CONCATENATE($C47," - ",$B47),[1]APPLIC!$B$9:$B$67,0)+1,MATCH($D47,[1]APPLIC!$C$8:$F$8,0)+1)</f>
        <v>7.1883204763838152E-2</v>
      </c>
      <c r="B47" s="542" t="s">
        <v>130</v>
      </c>
      <c r="C47" s="530" t="s">
        <v>139</v>
      </c>
      <c r="D47" t="s">
        <v>29</v>
      </c>
      <c r="E47" s="538">
        <f t="shared" si="10"/>
        <v>6185.8393986525489</v>
      </c>
      <c r="F47" s="538">
        <f t="shared" si="10"/>
        <v>6185.8393986525489</v>
      </c>
      <c r="G47" s="538">
        <f t="shared" si="10"/>
        <v>6185.8393986525489</v>
      </c>
      <c r="H47" s="538">
        <f t="shared" si="10"/>
        <v>6185.8393986525489</v>
      </c>
      <c r="I47" s="538">
        <f t="shared" si="10"/>
        <v>6185.8393986525489</v>
      </c>
      <c r="J47" s="538">
        <f t="shared" si="10"/>
        <v>6185.8393986525489</v>
      </c>
      <c r="K47" s="538">
        <f t="shared" si="10"/>
        <v>6185.8393986525489</v>
      </c>
      <c r="L47" s="538">
        <f t="shared" si="10"/>
        <v>6185.8393986525489</v>
      </c>
      <c r="M47" s="538">
        <f t="shared" si="10"/>
        <v>6185.8393986525489</v>
      </c>
      <c r="N47" s="538">
        <f t="shared" si="10"/>
        <v>6185.8393986525489</v>
      </c>
      <c r="O47" s="538">
        <f t="shared" si="10"/>
        <v>6185.8393986525489</v>
      </c>
      <c r="P47" s="538">
        <f t="shared" si="10"/>
        <v>6185.8393986525489</v>
      </c>
      <c r="Q47" s="538">
        <f t="shared" si="10"/>
        <v>6185.8393986525489</v>
      </c>
      <c r="R47" s="538">
        <f t="shared" si="10"/>
        <v>6185.8393986525489</v>
      </c>
      <c r="S47" s="538">
        <f t="shared" si="10"/>
        <v>6185.8393986525489</v>
      </c>
      <c r="T47" s="538">
        <f t="shared" si="10"/>
        <v>6185.8393986525489</v>
      </c>
      <c r="U47" s="538">
        <f t="shared" si="9"/>
        <v>6185.8393986525489</v>
      </c>
      <c r="V47" s="538">
        <f t="shared" si="9"/>
        <v>6185.8393986525489</v>
      </c>
      <c r="W47" s="538">
        <f t="shared" si="9"/>
        <v>6185.8393986525489</v>
      </c>
      <c r="X47" s="538">
        <f t="shared" si="9"/>
        <v>6185.8393986525489</v>
      </c>
      <c r="Y47" s="538"/>
      <c r="Z47" s="538" t="str">
        <f t="shared" si="7"/>
        <v>Energy Efficient Lighting - Oregon TieStall</v>
      </c>
      <c r="AA47" s="539">
        <f t="shared" si="8"/>
        <v>5257.963488854667</v>
      </c>
    </row>
    <row r="48" spans="1:27">
      <c r="A48" s="541">
        <f>INDEX([1]APPLIC!$B$8:$F$67,MATCH(CONCATENATE($C48," - ",$B48),[1]APPLIC!$B$9:$B$67,0)+1,MATCH($D48,[1]APPLIC!$C$8:$F$8,0)+1)</f>
        <v>2.5000000000000022E-3</v>
      </c>
      <c r="B48" s="542" t="s">
        <v>508</v>
      </c>
      <c r="C48" s="530" t="s">
        <v>137</v>
      </c>
      <c r="D48" t="s">
        <v>30</v>
      </c>
      <c r="E48" s="538">
        <f ca="1">$A48*VLOOKUP(CONCATENATE($D48," ",$B48),$B$13:$X$20,E$26+1,FALSE)</f>
        <v>15775.135402742872</v>
      </c>
      <c r="F48" s="538">
        <f t="shared" ca="1" si="10"/>
        <v>16050.805242932853</v>
      </c>
      <c r="G48" s="538">
        <f t="shared" ca="1" si="10"/>
        <v>16351.780878448701</v>
      </c>
      <c r="H48" s="538">
        <f t="shared" ca="1" si="10"/>
        <v>16608.035845728875</v>
      </c>
      <c r="I48" s="538">
        <f t="shared" ca="1" si="10"/>
        <v>16879.080502540073</v>
      </c>
      <c r="J48" s="538">
        <f t="shared" ca="1" si="10"/>
        <v>17108.955822541262</v>
      </c>
      <c r="K48" s="538">
        <f t="shared" ca="1" si="10"/>
        <v>17397.857525592106</v>
      </c>
      <c r="L48" s="538">
        <f t="shared" ca="1" si="10"/>
        <v>17617.084713154993</v>
      </c>
      <c r="M48" s="538">
        <f t="shared" ca="1" si="10"/>
        <v>17882.99253415376</v>
      </c>
      <c r="N48" s="538">
        <f t="shared" ca="1" si="10"/>
        <v>18187.050939324694</v>
      </c>
      <c r="O48" s="538">
        <f t="shared" ca="1" si="10"/>
        <v>18520.624891003892</v>
      </c>
      <c r="P48" s="538">
        <f t="shared" ca="1" si="10"/>
        <v>18877.547644719962</v>
      </c>
      <c r="Q48" s="538">
        <f t="shared" ca="1" si="10"/>
        <v>19208.104151402244</v>
      </c>
      <c r="R48" s="538">
        <f t="shared" ca="1" si="10"/>
        <v>19546.477649516175</v>
      </c>
      <c r="S48" s="538">
        <f t="shared" ca="1" si="10"/>
        <v>19871.992392850683</v>
      </c>
      <c r="T48" s="538">
        <f t="shared" ca="1" si="10"/>
        <v>20262.447060969687</v>
      </c>
      <c r="U48" s="538">
        <f t="shared" ca="1" si="9"/>
        <v>20630.683798708433</v>
      </c>
      <c r="V48" s="538">
        <f t="shared" ca="1" si="9"/>
        <v>20949.994941773257</v>
      </c>
      <c r="W48" s="538">
        <f t="shared" ca="1" si="9"/>
        <v>21350.147899009389</v>
      </c>
      <c r="X48" s="538">
        <f t="shared" ca="1" si="9"/>
        <v>21648.751945274187</v>
      </c>
      <c r="Y48" s="538"/>
      <c r="Z48" s="538" t="str">
        <f t="shared" si="7"/>
        <v>VSD - Vacuum Pump - Washington FreeStall</v>
      </c>
      <c r="AA48" s="539">
        <f t="shared" ca="1" si="8"/>
        <v>18401.439153483061</v>
      </c>
    </row>
    <row r="49" spans="1:71">
      <c r="A49" s="541">
        <f>INDEX([1]APPLIC!$B$8:$F$67,MATCH(CONCATENATE($C49," - ",$B49),[1]APPLIC!$B$9:$B$67,0)+1,MATCH($D49,[1]APPLIC!$C$8:$F$8,0)+1)</f>
        <v>4.7500000000000042E-2</v>
      </c>
      <c r="B49" s="542" t="s">
        <v>508</v>
      </c>
      <c r="C49" s="530" t="s">
        <v>138</v>
      </c>
      <c r="D49" t="s">
        <v>30</v>
      </c>
      <c r="E49" s="538">
        <f t="shared" ref="E49:T50" ca="1" si="11">$A49*VLOOKUP(CONCATENATE($D49," ",$B49),$B$13:$X$20,E$26+1,FALSE)</f>
        <v>299727.57265211456</v>
      </c>
      <c r="F49" s="538">
        <f t="shared" ca="1" si="10"/>
        <v>304965.29961572425</v>
      </c>
      <c r="G49" s="538">
        <f t="shared" ca="1" si="10"/>
        <v>310683.83669052535</v>
      </c>
      <c r="H49" s="538">
        <f t="shared" ca="1" si="10"/>
        <v>315552.68106884859</v>
      </c>
      <c r="I49" s="538">
        <f t="shared" ca="1" si="10"/>
        <v>320702.52954826143</v>
      </c>
      <c r="J49" s="538">
        <f t="shared" ca="1" si="10"/>
        <v>325070.16062828398</v>
      </c>
      <c r="K49" s="538">
        <f t="shared" ca="1" si="10"/>
        <v>330559.29298625002</v>
      </c>
      <c r="L49" s="538">
        <f t="shared" ca="1" si="10"/>
        <v>334724.60954994481</v>
      </c>
      <c r="M49" s="538">
        <f t="shared" ca="1" si="10"/>
        <v>339776.85814892146</v>
      </c>
      <c r="N49" s="538">
        <f t="shared" ca="1" si="10"/>
        <v>345553.9678471692</v>
      </c>
      <c r="O49" s="538">
        <f t="shared" ca="1" si="10"/>
        <v>351891.87292907393</v>
      </c>
      <c r="P49" s="538">
        <f t="shared" ca="1" si="10"/>
        <v>358673.40524967929</v>
      </c>
      <c r="Q49" s="538">
        <f t="shared" ca="1" si="10"/>
        <v>364953.97887664265</v>
      </c>
      <c r="R49" s="538">
        <f t="shared" ca="1" si="10"/>
        <v>371383.07534080732</v>
      </c>
      <c r="S49" s="538">
        <f t="shared" ca="1" si="10"/>
        <v>377567.85546416295</v>
      </c>
      <c r="T49" s="538">
        <f t="shared" ca="1" si="10"/>
        <v>384986.49415842403</v>
      </c>
      <c r="U49" s="538">
        <f t="shared" ca="1" si="9"/>
        <v>391982.99217546021</v>
      </c>
      <c r="V49" s="538">
        <f t="shared" ca="1" si="9"/>
        <v>398049.9038936919</v>
      </c>
      <c r="W49" s="538">
        <f t="shared" ca="1" si="9"/>
        <v>405652.81008117844</v>
      </c>
      <c r="X49" s="538">
        <f t="shared" ca="1" si="9"/>
        <v>411326.2869602096</v>
      </c>
      <c r="Y49" s="538"/>
      <c r="Z49" s="538" t="str">
        <f t="shared" si="7"/>
        <v>Plate Milk Pre-cooler - Washington FreeStall</v>
      </c>
      <c r="AA49" s="539">
        <f t="shared" ca="1" si="8"/>
        <v>349627.34391617816</v>
      </c>
    </row>
    <row r="50" spans="1:71">
      <c r="A50" s="541">
        <f>INDEX([1]APPLIC!$B$8:$F$67,MATCH(CONCATENATE($C50," - ",$B50),[1]APPLIC!$B$9:$B$67,0)+1,MATCH($D50,[1]APPLIC!$C$8:$F$8,0)+1)</f>
        <v>0.22596247328595939</v>
      </c>
      <c r="B50" s="542" t="s">
        <v>508</v>
      </c>
      <c r="C50" s="530" t="s">
        <v>139</v>
      </c>
      <c r="D50" t="s">
        <v>30</v>
      </c>
      <c r="E50" s="538">
        <f t="shared" ca="1" si="11"/>
        <v>1425835.4448098701</v>
      </c>
      <c r="F50" s="538">
        <f t="shared" ca="1" si="11"/>
        <v>1450751.8603697394</v>
      </c>
      <c r="G50" s="538">
        <f t="shared" ca="1" si="11"/>
        <v>1477955.5399697293</v>
      </c>
      <c r="H50" s="538">
        <f t="shared" ca="1" si="11"/>
        <v>1501117.1424491054</v>
      </c>
      <c r="I50" s="538">
        <f t="shared" ca="1" si="11"/>
        <v>1525615.5108587064</v>
      </c>
      <c r="J50" s="538">
        <f t="shared" ca="1" si="11"/>
        <v>1546392.7892006543</v>
      </c>
      <c r="K50" s="538">
        <f t="shared" ca="1" si="11"/>
        <v>1572505.166543812</v>
      </c>
      <c r="L50" s="538">
        <f t="shared" ca="1" si="11"/>
        <v>1592320.013549106</v>
      </c>
      <c r="M50" s="538">
        <f t="shared" ca="1" si="11"/>
        <v>1616354.0891086909</v>
      </c>
      <c r="N50" s="538">
        <f t="shared" ca="1" si="11"/>
        <v>1643836.404811014</v>
      </c>
      <c r="O50" s="538">
        <f t="shared" ca="1" si="11"/>
        <v>1673986.4828690952</v>
      </c>
      <c r="P50" s="538">
        <f t="shared" ca="1" si="11"/>
        <v>1706246.9421497826</v>
      </c>
      <c r="Q50" s="538">
        <f t="shared" ca="1" si="11"/>
        <v>1736124.2884740606</v>
      </c>
      <c r="R50" s="538">
        <f t="shared" ca="1" si="11"/>
        <v>1766708.1734853587</v>
      </c>
      <c r="S50" s="538">
        <f t="shared" ca="1" si="11"/>
        <v>1796129.8200833227</v>
      </c>
      <c r="T50" s="538">
        <f t="shared" ca="1" si="11"/>
        <v>1831421.06108901</v>
      </c>
      <c r="U50" s="538">
        <f t="shared" ca="1" si="9"/>
        <v>1864704.1346946901</v>
      </c>
      <c r="V50" s="538">
        <f t="shared" ca="1" si="9"/>
        <v>1893565.0689485678</v>
      </c>
      <c r="W50" s="538">
        <f t="shared" ca="1" si="9"/>
        <v>1929732.8897124748</v>
      </c>
      <c r="X50" s="538">
        <f t="shared" ca="1" si="9"/>
        <v>1956722.2132433504</v>
      </c>
      <c r="Y50" s="538"/>
      <c r="Z50" s="538" t="str">
        <f t="shared" si="7"/>
        <v>Energy Efficient Lighting - Washington FreeStall</v>
      </c>
      <c r="AA50" s="539">
        <f t="shared" ca="1" si="8"/>
        <v>1663213.8812568479</v>
      </c>
    </row>
    <row r="51" spans="1:71">
      <c r="A51" s="541">
        <f>INDEX([1]APPLIC!$B$8:$F$67,MATCH(CONCATENATE($C51," - ",$B51),[1]APPLIC!$B$9:$B$67,0)+1,MATCH($D51,[1]APPLIC!$C$8:$F$8,0)+1)</f>
        <v>0.1604247304551811</v>
      </c>
      <c r="B51" s="542" t="s">
        <v>130</v>
      </c>
      <c r="C51" s="530" t="s">
        <v>137</v>
      </c>
      <c r="D51" t="s">
        <v>30</v>
      </c>
      <c r="E51" s="538">
        <f t="shared" si="10"/>
        <v>17223.600344312799</v>
      </c>
      <c r="F51" s="538">
        <f t="shared" si="10"/>
        <v>17223.600344312799</v>
      </c>
      <c r="G51" s="538">
        <f t="shared" si="10"/>
        <v>17223.600344312799</v>
      </c>
      <c r="H51" s="538">
        <f t="shared" si="10"/>
        <v>17223.600344312799</v>
      </c>
      <c r="I51" s="538">
        <f t="shared" si="10"/>
        <v>17223.600344312799</v>
      </c>
      <c r="J51" s="538">
        <f t="shared" si="10"/>
        <v>17223.600344312799</v>
      </c>
      <c r="K51" s="538">
        <f t="shared" si="10"/>
        <v>17223.600344312799</v>
      </c>
      <c r="L51" s="538">
        <f t="shared" si="10"/>
        <v>17223.600344312799</v>
      </c>
      <c r="M51" s="538">
        <f t="shared" si="10"/>
        <v>17223.600344312799</v>
      </c>
      <c r="N51" s="538">
        <f t="shared" si="10"/>
        <v>17223.600344312799</v>
      </c>
      <c r="O51" s="538">
        <f t="shared" si="10"/>
        <v>17223.600344312799</v>
      </c>
      <c r="P51" s="538">
        <f t="shared" si="10"/>
        <v>17223.600344312799</v>
      </c>
      <c r="Q51" s="538">
        <f t="shared" si="10"/>
        <v>17223.600344312799</v>
      </c>
      <c r="R51" s="538">
        <f t="shared" si="10"/>
        <v>17223.600344312799</v>
      </c>
      <c r="S51" s="538">
        <f t="shared" si="10"/>
        <v>17223.600344312799</v>
      </c>
      <c r="T51" s="538">
        <f t="shared" si="10"/>
        <v>17223.600344312799</v>
      </c>
      <c r="U51" s="538">
        <f t="shared" si="9"/>
        <v>17223.600344312799</v>
      </c>
      <c r="V51" s="538">
        <f t="shared" si="9"/>
        <v>17223.600344312799</v>
      </c>
      <c r="W51" s="538">
        <f t="shared" si="9"/>
        <v>17223.600344312799</v>
      </c>
      <c r="X51" s="538">
        <f t="shared" si="9"/>
        <v>17223.600344312799</v>
      </c>
      <c r="Y51" s="538"/>
      <c r="Z51" s="538" t="str">
        <f t="shared" si="7"/>
        <v>VSD - Vacuum Pump - Washington TieStall</v>
      </c>
      <c r="AA51" s="539">
        <f t="shared" si="8"/>
        <v>14640.060292665879</v>
      </c>
    </row>
    <row r="52" spans="1:71">
      <c r="A52" s="541">
        <f>INDEX([1]APPLIC!$B$8:$F$67,MATCH(CONCATENATE($C52," - ",$B52),[1]APPLIC!$B$9:$B$67,0)+1,MATCH($D52,[1]APPLIC!$C$8:$F$8,0)+1)</f>
        <v>0.84147877475526689</v>
      </c>
      <c r="B52" s="542" t="s">
        <v>130</v>
      </c>
      <c r="C52" s="530" t="s">
        <v>64</v>
      </c>
      <c r="D52" t="s">
        <v>30</v>
      </c>
      <c r="E52" s="538">
        <f t="shared" si="10"/>
        <v>90343.266112925237</v>
      </c>
      <c r="F52" s="538">
        <f t="shared" si="10"/>
        <v>90343.266112925237</v>
      </c>
      <c r="G52" s="538">
        <f t="shared" si="10"/>
        <v>90343.266112925237</v>
      </c>
      <c r="H52" s="538">
        <f t="shared" si="10"/>
        <v>90343.266112925237</v>
      </c>
      <c r="I52" s="538">
        <f t="shared" si="10"/>
        <v>90343.266112925237</v>
      </c>
      <c r="J52" s="538">
        <f t="shared" si="10"/>
        <v>90343.266112925237</v>
      </c>
      <c r="K52" s="538">
        <f t="shared" si="10"/>
        <v>90343.266112925237</v>
      </c>
      <c r="L52" s="538">
        <f t="shared" si="10"/>
        <v>90343.266112925237</v>
      </c>
      <c r="M52" s="538">
        <f t="shared" si="10"/>
        <v>90343.266112925237</v>
      </c>
      <c r="N52" s="538">
        <f t="shared" si="10"/>
        <v>90343.266112925237</v>
      </c>
      <c r="O52" s="538">
        <f t="shared" si="10"/>
        <v>90343.266112925237</v>
      </c>
      <c r="P52" s="538">
        <f t="shared" si="10"/>
        <v>90343.266112925237</v>
      </c>
      <c r="Q52" s="538">
        <f t="shared" si="10"/>
        <v>90343.266112925237</v>
      </c>
      <c r="R52" s="538">
        <f t="shared" si="10"/>
        <v>90343.266112925237</v>
      </c>
      <c r="S52" s="538">
        <f t="shared" si="10"/>
        <v>90343.266112925237</v>
      </c>
      <c r="T52" s="538">
        <f t="shared" si="10"/>
        <v>90343.266112925237</v>
      </c>
      <c r="U52" s="538">
        <f t="shared" si="9"/>
        <v>90343.266112925237</v>
      </c>
      <c r="V52" s="538">
        <f t="shared" si="9"/>
        <v>90343.266112925237</v>
      </c>
      <c r="W52" s="538">
        <f t="shared" si="9"/>
        <v>90343.266112925237</v>
      </c>
      <c r="X52" s="538">
        <f t="shared" si="9"/>
        <v>90343.266112925237</v>
      </c>
      <c r="Y52" s="538"/>
      <c r="Z52" s="538" t="str">
        <f t="shared" si="7"/>
        <v>Heat Recovery Refrigeration - Washington TieStall</v>
      </c>
      <c r="AA52" s="539">
        <f t="shared" si="8"/>
        <v>76791.776195986444</v>
      </c>
    </row>
    <row r="53" spans="1:71">
      <c r="A53" s="541">
        <f>INDEX([1]APPLIC!$B$8:$F$67,MATCH(CONCATENATE($C53," - ",$B53),[1]APPLIC!$B$9:$B$67,0)+1,MATCH($D53,[1]APPLIC!$C$8:$F$8,0)+1)</f>
        <v>0.539760454730004</v>
      </c>
      <c r="B53" s="542" t="s">
        <v>130</v>
      </c>
      <c r="C53" s="530" t="s">
        <v>56</v>
      </c>
      <c r="D53" t="s">
        <v>30</v>
      </c>
      <c r="E53" s="538">
        <f t="shared" si="10"/>
        <v>57950.032563909379</v>
      </c>
      <c r="F53" s="538">
        <f t="shared" si="10"/>
        <v>57950.032563909379</v>
      </c>
      <c r="G53" s="538">
        <f t="shared" si="10"/>
        <v>57950.032563909379</v>
      </c>
      <c r="H53" s="538">
        <f t="shared" si="10"/>
        <v>57950.032563909379</v>
      </c>
      <c r="I53" s="538">
        <f t="shared" si="10"/>
        <v>57950.032563909379</v>
      </c>
      <c r="J53" s="538">
        <f t="shared" si="10"/>
        <v>57950.032563909379</v>
      </c>
      <c r="K53" s="538">
        <f t="shared" si="10"/>
        <v>57950.032563909379</v>
      </c>
      <c r="L53" s="538">
        <f t="shared" si="10"/>
        <v>57950.032563909379</v>
      </c>
      <c r="M53" s="538">
        <f t="shared" si="10"/>
        <v>57950.032563909379</v>
      </c>
      <c r="N53" s="538">
        <f t="shared" si="10"/>
        <v>57950.032563909379</v>
      </c>
      <c r="O53" s="538">
        <f t="shared" si="10"/>
        <v>57950.032563909379</v>
      </c>
      <c r="P53" s="538">
        <f t="shared" si="10"/>
        <v>57950.032563909379</v>
      </c>
      <c r="Q53" s="538">
        <f t="shared" si="10"/>
        <v>57950.032563909379</v>
      </c>
      <c r="R53" s="538">
        <f t="shared" si="10"/>
        <v>57950.032563909379</v>
      </c>
      <c r="S53" s="538">
        <f t="shared" si="10"/>
        <v>57950.032563909379</v>
      </c>
      <c r="T53" s="538">
        <f t="shared" si="10"/>
        <v>57950.032563909379</v>
      </c>
      <c r="U53" s="538">
        <f t="shared" si="9"/>
        <v>57950.032563909379</v>
      </c>
      <c r="V53" s="538">
        <f t="shared" si="9"/>
        <v>57950.032563909379</v>
      </c>
      <c r="W53" s="538">
        <f t="shared" si="9"/>
        <v>57950.032563909379</v>
      </c>
      <c r="X53" s="538">
        <f t="shared" si="9"/>
        <v>57950.032563909379</v>
      </c>
      <c r="Y53" s="538"/>
      <c r="Z53" s="538" t="str">
        <f t="shared" si="7"/>
        <v>Plate Milk Pre-Cooler - Washington TieStall</v>
      </c>
      <c r="AA53" s="539">
        <f t="shared" si="8"/>
        <v>49257.527679322979</v>
      </c>
    </row>
    <row r="54" spans="1:71">
      <c r="A54" s="541">
        <f>INDEX([1]APPLIC!$B$8:$F$67,MATCH(CONCATENATE($C54," - ",$B54),[1]APPLIC!$B$9:$B$67,0)+1,MATCH($D54,[1]APPLIC!$C$8:$F$8,0)+1)</f>
        <v>7.1883204763838152E-2</v>
      </c>
      <c r="B54" s="542" t="s">
        <v>130</v>
      </c>
      <c r="C54" s="530" t="s">
        <v>139</v>
      </c>
      <c r="D54" t="s">
        <v>30</v>
      </c>
      <c r="E54" s="538">
        <f t="shared" si="10"/>
        <v>7717.5606704020165</v>
      </c>
      <c r="F54" s="538">
        <f t="shared" si="10"/>
        <v>7717.5606704020165</v>
      </c>
      <c r="G54" s="538">
        <f t="shared" si="10"/>
        <v>7717.5606704020165</v>
      </c>
      <c r="H54" s="538">
        <f t="shared" si="10"/>
        <v>7717.5606704020165</v>
      </c>
      <c r="I54" s="538">
        <f t="shared" si="10"/>
        <v>7717.5606704020165</v>
      </c>
      <c r="J54" s="538">
        <f t="shared" si="10"/>
        <v>7717.5606704020165</v>
      </c>
      <c r="K54" s="538">
        <f t="shared" si="10"/>
        <v>7717.5606704020165</v>
      </c>
      <c r="L54" s="538">
        <f t="shared" si="10"/>
        <v>7717.5606704020165</v>
      </c>
      <c r="M54" s="538">
        <f t="shared" si="10"/>
        <v>7717.5606704020165</v>
      </c>
      <c r="N54" s="538">
        <f t="shared" si="10"/>
        <v>7717.5606704020165</v>
      </c>
      <c r="O54" s="538">
        <f t="shared" si="10"/>
        <v>7717.5606704020165</v>
      </c>
      <c r="P54" s="538">
        <f t="shared" si="10"/>
        <v>7717.5606704020165</v>
      </c>
      <c r="Q54" s="538">
        <f t="shared" si="10"/>
        <v>7717.5606704020165</v>
      </c>
      <c r="R54" s="538">
        <f t="shared" si="10"/>
        <v>7717.5606704020165</v>
      </c>
      <c r="S54" s="538">
        <f t="shared" si="10"/>
        <v>7717.5606704020165</v>
      </c>
      <c r="T54" s="538">
        <f t="shared" si="10"/>
        <v>7717.5606704020165</v>
      </c>
      <c r="U54" s="538">
        <f t="shared" si="9"/>
        <v>7717.5606704020165</v>
      </c>
      <c r="V54" s="538">
        <f t="shared" si="9"/>
        <v>7717.5606704020165</v>
      </c>
      <c r="W54" s="538">
        <f t="shared" si="9"/>
        <v>7717.5606704020165</v>
      </c>
      <c r="X54" s="538">
        <f t="shared" si="9"/>
        <v>7717.5606704020165</v>
      </c>
      <c r="Y54" s="538"/>
      <c r="Z54" s="538" t="str">
        <f t="shared" si="7"/>
        <v>Energy Efficient Lighting - Washington TieStall</v>
      </c>
      <c r="AA54" s="539">
        <f t="shared" si="8"/>
        <v>6559.9265698417139</v>
      </c>
    </row>
    <row r="55" spans="1:71">
      <c r="A55" s="541"/>
      <c r="B55" s="542"/>
      <c r="C55" s="530"/>
      <c r="E55" s="538"/>
      <c r="F55" s="538"/>
      <c r="G55" s="538"/>
      <c r="H55" s="538"/>
      <c r="I55" s="538"/>
      <c r="J55" s="538"/>
      <c r="K55" s="538"/>
      <c r="L55" s="538"/>
      <c r="M55" s="538"/>
      <c r="N55" s="538"/>
      <c r="O55" s="538"/>
      <c r="P55" s="538"/>
      <c r="Q55" s="538"/>
      <c r="R55" s="538"/>
      <c r="S55" s="538"/>
      <c r="T55" s="538"/>
      <c r="U55" s="538"/>
      <c r="V55" s="538"/>
      <c r="W55" s="538"/>
      <c r="X55" s="538"/>
      <c r="Y55" s="538"/>
      <c r="Z55" s="538"/>
      <c r="AA55" s="539"/>
    </row>
    <row r="56" spans="1:71">
      <c r="E56" s="538"/>
      <c r="F56" s="538"/>
      <c r="G56" s="538"/>
      <c r="H56" s="538"/>
      <c r="I56" s="538"/>
      <c r="J56" s="538"/>
      <c r="K56" s="538"/>
      <c r="L56" s="538"/>
      <c r="M56" s="538"/>
      <c r="N56" s="538"/>
      <c r="O56" s="538"/>
      <c r="P56" s="538"/>
      <c r="Q56" s="538"/>
      <c r="R56" s="538"/>
      <c r="S56" s="538"/>
      <c r="T56" s="538"/>
      <c r="U56" s="538"/>
      <c r="V56" s="538"/>
      <c r="W56" s="538"/>
      <c r="X56" s="538"/>
      <c r="Y56" s="538"/>
    </row>
    <row r="57" spans="1:71">
      <c r="E57" s="538">
        <f ca="1">SUM(E27:E30)</f>
        <v>3732484.3020268879</v>
      </c>
      <c r="F57" s="538">
        <f t="shared" ref="F57:X57" ca="1" si="12">SUM(F27:F30)</f>
        <v>3791511.2962554195</v>
      </c>
      <c r="G57" s="538">
        <f t="shared" ca="1" si="12"/>
        <v>3841269.8997009965</v>
      </c>
      <c r="H57" s="538">
        <f t="shared" ca="1" si="12"/>
        <v>3908357.1851468603</v>
      </c>
      <c r="I57" s="538">
        <f t="shared" ca="1" si="12"/>
        <v>3976620.4071065229</v>
      </c>
      <c r="J57" s="538">
        <f t="shared" ca="1" si="12"/>
        <v>4051421.4958191407</v>
      </c>
      <c r="K57" s="538">
        <f t="shared" ca="1" si="12"/>
        <v>4124298.4154291716</v>
      </c>
      <c r="L57" s="538">
        <f t="shared" ca="1" si="12"/>
        <v>4207710.8762436109</v>
      </c>
      <c r="M57" s="538">
        <f t="shared" ca="1" si="12"/>
        <v>4297569.7619679151</v>
      </c>
      <c r="N57" s="538">
        <f t="shared" ca="1" si="12"/>
        <v>4393110.3948169146</v>
      </c>
      <c r="O57" s="538">
        <f t="shared" ca="1" si="12"/>
        <v>4506923.8318877993</v>
      </c>
      <c r="P57" s="538">
        <f t="shared" ca="1" si="12"/>
        <v>4606709.9558722638</v>
      </c>
      <c r="Q57" s="538">
        <f t="shared" ca="1" si="12"/>
        <v>4714081.916560431</v>
      </c>
      <c r="R57" s="538">
        <f t="shared" ca="1" si="12"/>
        <v>4803398.5336387465</v>
      </c>
      <c r="S57" s="538">
        <f t="shared" ca="1" si="12"/>
        <v>4897055.1584801255</v>
      </c>
      <c r="T57" s="538">
        <f t="shared" ca="1" si="12"/>
        <v>4995317.3123966977</v>
      </c>
      <c r="U57" s="538">
        <f t="shared" ca="1" si="12"/>
        <v>5086033.725460737</v>
      </c>
      <c r="V57" s="538">
        <f t="shared" ca="1" si="12"/>
        <v>5170371.7140333755</v>
      </c>
      <c r="W57" s="538">
        <f t="shared" ca="1" si="12"/>
        <v>5266066.4357501585</v>
      </c>
      <c r="X57" s="538">
        <f t="shared" ca="1" si="12"/>
        <v>5331239.9762709336</v>
      </c>
      <c r="Y57" s="538"/>
      <c r="AA57" s="539">
        <f ca="1">MAX(E57:X57)*$AA$25</f>
        <v>4531553.9798302939</v>
      </c>
    </row>
    <row r="58" spans="1:71">
      <c r="D58" s="538"/>
      <c r="E58" s="538"/>
      <c r="F58" s="538"/>
      <c r="G58" s="538"/>
      <c r="H58" s="538"/>
      <c r="I58" s="538"/>
      <c r="J58" s="538"/>
      <c r="K58" s="538"/>
      <c r="L58" s="538"/>
      <c r="M58" s="538"/>
      <c r="N58" s="538"/>
      <c r="O58" s="538"/>
      <c r="P58" s="538"/>
      <c r="Q58" s="538"/>
      <c r="R58" s="538"/>
      <c r="S58" s="538"/>
      <c r="T58" s="538"/>
      <c r="U58" s="538"/>
      <c r="V58" s="538"/>
      <c r="W58" s="538"/>
      <c r="X58" s="538"/>
    </row>
    <row r="60" spans="1:71" ht="15">
      <c r="A60" s="531" t="str">
        <f>CONCATENATE("# UNITS ACHIEVABLE BY YEAR FOR MEASURE - ",C61)</f>
        <v># UNITS ACHIEVABLE BY YEAR FOR MEASURE - Dairy - Retro</v>
      </c>
      <c r="E60" s="540" t="s">
        <v>380</v>
      </c>
      <c r="F60" s="530"/>
    </row>
    <row r="61" spans="1:71" ht="15">
      <c r="C61" s="540" t="str">
        <f>C26</f>
        <v>Dairy - Retro</v>
      </c>
      <c r="E61" s="543">
        <f>VLOOKUP($C$61,[1]ACHIEV!$B$10:$X$104,MATCH(E$11,$E$11:$Y$11,0)+2,FALSE)</f>
        <v>4.2999999999999997E-2</v>
      </c>
      <c r="F61" s="543">
        <f>VLOOKUP($C$61,[1]ACHIEV!$B$10:$X$104,MATCH(F$11,$E$11:$Y$11,0)+2,FALSE)</f>
        <v>5.279714228027832E-2</v>
      </c>
      <c r="G61" s="543">
        <f>VLOOKUP($C$61,[1]ACHIEV!$B$10:$X$104,MATCH(G$11,$E$11:$Y$11,0)+2,FALSE)</f>
        <v>6.4608251467478173E-2</v>
      </c>
      <c r="H61" s="543">
        <f>VLOOKUP($C$61,[1]ACHIEV!$B$10:$X$104,MATCH(H$11,$E$11:$Y$11,0)+2,FALSE)</f>
        <v>7.4999999999999997E-2</v>
      </c>
      <c r="I61" s="543">
        <f>VLOOKUP($C$61,[1]ACHIEV!$B$10:$X$104,MATCH(I$11,$E$11:$Y$11,0)+2,FALSE)</f>
        <v>8.5546997470333563E-2</v>
      </c>
      <c r="J61" s="543">
        <f>VLOOKUP($C$61,[1]ACHIEV!$B$10:$X$104,MATCH(J$11,$E$11:$Y$11,0)+2,FALSE)</f>
        <v>0.10001472303820647</v>
      </c>
      <c r="K61" s="543">
        <f>VLOOKUP($C$61,[1]ACHIEV!$B$10:$X$104,MATCH(K$11,$E$11:$Y$11,0)+2,FALSE)</f>
        <v>0.10971770435235073</v>
      </c>
      <c r="L61" s="543">
        <f>VLOOKUP($C$61,[1]ACHIEV!$B$10:$X$104,MATCH(L$11,$E$11:$Y$11,0)+2,FALSE)</f>
        <v>0.11208438511970376</v>
      </c>
      <c r="M61" s="543">
        <f>VLOOKUP($C$61,[1]ACHIEV!$B$10:$X$104,MATCH(M$11,$E$11:$Y$11,0)+2,FALSE)</f>
        <v>0.10562608162722853</v>
      </c>
      <c r="N61" s="543">
        <f>VLOOKUP($C$61,[1]ACHIEV!$B$10:$X$104,MATCH(N$11,$E$11:$Y$11,0)+2,FALSE)</f>
        <v>9.0794563997872335E-2</v>
      </c>
      <c r="O61" s="543">
        <f>VLOOKUP($C$61,[1]ACHIEV!$B$10:$X$104,MATCH(O$11,$E$11:$Y$11,0)+2,FALSE)</f>
        <v>7.0260666991849297E-2</v>
      </c>
      <c r="P61" s="543">
        <f>VLOOKUP($C$61,[1]ACHIEV!$B$10:$X$104,MATCH(P$11,$E$11:$Y$11,0)+2,FALSE)</f>
        <v>4.8218360404944538E-2</v>
      </c>
      <c r="Q61" s="543">
        <f>VLOOKUP($C$61,[1]ACHIEV!$B$10:$X$104,MATCH(Q$11,$E$11:$Y$11,0)+2,FALSE)</f>
        <v>2.8854234614640095E-2</v>
      </c>
      <c r="R61" s="543">
        <f>VLOOKUP($C$61,[1]ACHIEV!$B$10:$X$104,MATCH(R$11,$E$11:$Y$11,0)+2,FALSE)</f>
        <v>1.4773964924806759E-2</v>
      </c>
      <c r="S61" s="543">
        <f>VLOOKUP($C$61,[1]ACHIEV!$B$10:$X$104,MATCH(S$11,$E$11:$Y$11,0)+2,FALSE)</f>
        <v>6.3385343681182649E-3</v>
      </c>
      <c r="T61" s="543">
        <f>VLOOKUP($C$61,[1]ACHIEV!$B$10:$X$104,MATCH(T$11,$E$11:$Y$11,0)+2,FALSE)</f>
        <v>2.2268577196306039E-3</v>
      </c>
      <c r="U61" s="543">
        <f>VLOOKUP($C$61,[1]ACHIEV!$B$10:$X$104,MATCH(U$11,$E$11:$Y$11,0)+2,FALSE)</f>
        <v>6.2471001963848583E-4</v>
      </c>
      <c r="V61" s="543">
        <f>VLOOKUP($C$61,[1]ACHIEV!$B$10:$X$104,MATCH(V$11,$E$11:$Y$11,0)+2,FALSE)</f>
        <v>1.3615841889635938E-4</v>
      </c>
      <c r="W61" s="543">
        <f>VLOOKUP($C$61,[1]ACHIEV!$B$10:$X$104,MATCH(W$11,$E$11:$Y$11,0)+2,FALSE)</f>
        <v>2.2380636622298944E-5</v>
      </c>
      <c r="X61" s="543">
        <f>VLOOKUP($C$61,[1]ACHIEV!$B$10:$X$104,MATCH(X$11,$E$11:$Y$11,0)+2,FALSE)</f>
        <v>2.68643837586513E-6</v>
      </c>
      <c r="Y61" s="543"/>
      <c r="AC61" s="530"/>
      <c r="AD61" s="530"/>
      <c r="AE61" s="530"/>
      <c r="AF61" s="530"/>
      <c r="AG61" s="530"/>
      <c r="AH61" s="530"/>
      <c r="AI61" s="530"/>
      <c r="AJ61" s="530"/>
      <c r="AK61" s="530"/>
      <c r="AL61" s="530"/>
      <c r="AM61" s="530"/>
      <c r="AN61" s="530"/>
      <c r="AO61" s="530"/>
      <c r="AP61" s="530"/>
      <c r="AQ61" s="530"/>
      <c r="AR61" s="530"/>
      <c r="AS61" s="530"/>
      <c r="AT61" s="530"/>
      <c r="AU61" s="530"/>
      <c r="AV61" s="530"/>
      <c r="AW61" s="530"/>
      <c r="AX61" s="530"/>
      <c r="AY61" s="530"/>
      <c r="AZ61" s="530"/>
      <c r="BA61" s="530"/>
      <c r="BB61" s="530"/>
      <c r="BC61" s="530"/>
      <c r="BD61" s="530"/>
      <c r="BE61" s="530"/>
      <c r="BF61" s="530"/>
      <c r="BG61" s="530"/>
      <c r="BH61" s="530"/>
      <c r="BI61" s="530"/>
      <c r="BJ61" s="530"/>
      <c r="BK61" s="530"/>
      <c r="BL61" s="530"/>
      <c r="BM61" s="530"/>
      <c r="BN61" s="530"/>
      <c r="BO61" s="530"/>
      <c r="BP61" s="530"/>
      <c r="BQ61" s="530"/>
      <c r="BR61" s="530"/>
      <c r="BS61" s="530"/>
    </row>
    <row r="62" spans="1:71">
      <c r="B62" t="str">
        <f>C62&amp;D62</f>
        <v>VSD - Vacuum PumpIdaho FreeStall</v>
      </c>
      <c r="C62" t="str">
        <f>C27</f>
        <v>VSD - Vacuum Pump</v>
      </c>
      <c r="D62" t="str">
        <f>CONCATENATE(D27," ",B27)</f>
        <v>Idaho FreeStall</v>
      </c>
      <c r="E62" s="538">
        <f ca="1">E27*E$61*$AA$25</f>
        <v>1222.7230175183734</v>
      </c>
      <c r="F62" s="538">
        <f t="shared" ref="F62:X62" ca="1" si="13">F27*F$61*$AA$25</f>
        <v>1525.3065838769951</v>
      </c>
      <c r="G62" s="538">
        <f t="shared" ca="1" si="13"/>
        <v>1891.2840115428155</v>
      </c>
      <c r="H62" s="538">
        <f t="shared" ca="1" si="13"/>
        <v>2234.2272678142294</v>
      </c>
      <c r="I62" s="538">
        <f t="shared" ca="1" si="13"/>
        <v>2593.386803426899</v>
      </c>
      <c r="J62" s="538">
        <f t="shared" ca="1" si="13"/>
        <v>3089.5886356256979</v>
      </c>
      <c r="K62" s="538">
        <f t="shared" ca="1" si="13"/>
        <v>3450.8976305870956</v>
      </c>
      <c r="L62" s="538">
        <f t="shared" ca="1" si="13"/>
        <v>3597.327808958793</v>
      </c>
      <c r="M62" s="538">
        <f t="shared" ca="1" si="13"/>
        <v>3463.1369043173199</v>
      </c>
      <c r="N62" s="538">
        <f t="shared" ca="1" si="13"/>
        <v>3043.656493145656</v>
      </c>
      <c r="O62" s="538">
        <f t="shared" ca="1" si="13"/>
        <v>2416.8863576639774</v>
      </c>
      <c r="P62" s="538">
        <f t="shared" ca="1" si="13"/>
        <v>1695.7065732432181</v>
      </c>
      <c r="Q62" s="538">
        <f t="shared" ca="1" si="13"/>
        <v>1038.5803900310505</v>
      </c>
      <c r="R62" s="538">
        <f t="shared" ca="1" si="13"/>
        <v>541.93568274266261</v>
      </c>
      <c r="S62" s="538">
        <f t="shared" ca="1" si="13"/>
        <v>237.0801376028968</v>
      </c>
      <c r="T62" s="538">
        <f t="shared" ca="1" si="13"/>
        <v>84.97608949673949</v>
      </c>
      <c r="U62" s="538">
        <f t="shared" ca="1" si="13"/>
        <v>24.275098067461325</v>
      </c>
      <c r="V62" s="538">
        <f t="shared" ca="1" si="13"/>
        <v>5.3792944721896427</v>
      </c>
      <c r="W62" s="538">
        <f t="shared" ca="1" si="13"/>
        <v>0.90069743626657695</v>
      </c>
      <c r="X62" s="538">
        <f t="shared" ca="1" si="13"/>
        <v>0.10946256653145701</v>
      </c>
      <c r="Y62" s="538"/>
      <c r="AA62" s="538">
        <f ca="1">SUM(E62:X62)</f>
        <v>32157.364940136864</v>
      </c>
      <c r="AC62" s="530"/>
      <c r="AD62" s="530"/>
      <c r="AE62" s="530"/>
      <c r="AF62" s="530"/>
      <c r="AG62" s="530"/>
      <c r="AH62" s="530"/>
      <c r="AI62" s="530"/>
      <c r="AJ62" s="530"/>
      <c r="AK62" s="530"/>
      <c r="AL62" s="530"/>
      <c r="AM62" s="530"/>
      <c r="AN62" s="530"/>
      <c r="AO62" s="530"/>
      <c r="AP62" s="530"/>
      <c r="AQ62" s="530"/>
      <c r="AR62" s="530"/>
      <c r="AS62" s="530"/>
      <c r="AT62" s="530"/>
      <c r="AU62" s="530"/>
      <c r="AV62" s="530"/>
      <c r="AW62" s="530"/>
      <c r="AX62" s="530"/>
      <c r="AY62" s="530"/>
      <c r="AZ62" s="530"/>
      <c r="BA62" s="530"/>
      <c r="BB62" s="530"/>
      <c r="BC62" s="530"/>
      <c r="BD62" s="530"/>
      <c r="BE62" s="530"/>
      <c r="BF62" s="530"/>
      <c r="BG62" s="530"/>
      <c r="BH62" s="530"/>
      <c r="BI62" s="530"/>
      <c r="BJ62" s="530"/>
      <c r="BK62" s="530"/>
      <c r="BL62" s="530"/>
      <c r="BM62" s="530"/>
      <c r="BN62" s="530"/>
      <c r="BO62" s="530"/>
      <c r="BP62" s="530"/>
      <c r="BQ62" s="530"/>
      <c r="BR62" s="530"/>
      <c r="BS62" s="530"/>
    </row>
    <row r="63" spans="1:71">
      <c r="B63" t="str">
        <f t="shared" ref="B63:B89" si="14">C63&amp;D63</f>
        <v>Plate Milk Pre-coolerIdaho FreeStall</v>
      </c>
      <c r="C63" t="str">
        <f t="shared" ref="C63:C65" si="15">C28</f>
        <v>Plate Milk Pre-cooler</v>
      </c>
      <c r="D63" t="str">
        <f t="shared" ref="D63:D68" si="16">CONCATENATE(D28," ",B28)</f>
        <v>Idaho FreeStall</v>
      </c>
      <c r="E63" s="538">
        <f t="shared" ref="E63:X63" ca="1" si="17">E28*E$61*$AA$25</f>
        <v>23231.737332849094</v>
      </c>
      <c r="F63" s="538">
        <f t="shared" ca="1" si="17"/>
        <v>28980.825093662901</v>
      </c>
      <c r="G63" s="538">
        <f t="shared" ca="1" si="17"/>
        <v>35934.396219313501</v>
      </c>
      <c r="H63" s="538">
        <f t="shared" ca="1" si="17"/>
        <v>42450.318088470362</v>
      </c>
      <c r="I63" s="538">
        <f t="shared" ca="1" si="17"/>
        <v>49274.349265111072</v>
      </c>
      <c r="J63" s="538">
        <f t="shared" ca="1" si="17"/>
        <v>58702.184076888254</v>
      </c>
      <c r="K63" s="538">
        <f t="shared" ca="1" si="17"/>
        <v>65567.054981154812</v>
      </c>
      <c r="L63" s="538">
        <f t="shared" ca="1" si="17"/>
        <v>68349.228370217083</v>
      </c>
      <c r="M63" s="538">
        <f t="shared" ca="1" si="17"/>
        <v>65799.601182029073</v>
      </c>
      <c r="N63" s="538">
        <f t="shared" ca="1" si="17"/>
        <v>57829.473369767467</v>
      </c>
      <c r="O63" s="538">
        <f t="shared" ca="1" si="17"/>
        <v>45920.840795615572</v>
      </c>
      <c r="P63" s="538">
        <f t="shared" ca="1" si="17"/>
        <v>32218.424891621144</v>
      </c>
      <c r="Q63" s="538">
        <f t="shared" ca="1" si="17"/>
        <v>19733.027410589963</v>
      </c>
      <c r="R63" s="538">
        <f t="shared" ca="1" si="17"/>
        <v>10296.777972110593</v>
      </c>
      <c r="S63" s="538">
        <f t="shared" ca="1" si="17"/>
        <v>4504.5226144550388</v>
      </c>
      <c r="T63" s="538">
        <f t="shared" ca="1" si="17"/>
        <v>1614.5457004380503</v>
      </c>
      <c r="U63" s="538">
        <f t="shared" ca="1" si="17"/>
        <v>461.22686328176508</v>
      </c>
      <c r="V63" s="538">
        <f t="shared" ca="1" si="17"/>
        <v>102.20659497160322</v>
      </c>
      <c r="W63" s="538">
        <f t="shared" ca="1" si="17"/>
        <v>17.113251289064962</v>
      </c>
      <c r="X63" s="538">
        <f t="shared" ca="1" si="17"/>
        <v>2.0797887640976831</v>
      </c>
      <c r="Y63" s="538"/>
      <c r="AA63" s="538">
        <f t="shared" ref="AA63:AA65" ca="1" si="18">SUM(E63:X63)</f>
        <v>610989.93386260059</v>
      </c>
      <c r="AC63" s="530"/>
      <c r="AD63" s="530"/>
      <c r="AE63" s="530"/>
      <c r="AF63" s="530"/>
      <c r="AG63" s="530"/>
      <c r="AH63" s="530"/>
      <c r="AI63" s="530"/>
      <c r="AJ63" s="530"/>
      <c r="AK63" s="530"/>
      <c r="AL63" s="530"/>
      <c r="AM63" s="530"/>
      <c r="AN63" s="530"/>
      <c r="AO63" s="530"/>
      <c r="AP63" s="530"/>
      <c r="AQ63" s="530"/>
      <c r="AR63" s="530"/>
      <c r="AS63" s="530"/>
      <c r="AT63" s="530"/>
      <c r="AU63" s="530"/>
      <c r="AV63" s="530"/>
      <c r="AW63" s="530"/>
      <c r="AX63" s="530"/>
      <c r="AY63" s="530"/>
      <c r="AZ63" s="530"/>
      <c r="BA63" s="530"/>
      <c r="BB63" s="530"/>
      <c r="BC63" s="530"/>
      <c r="BD63" s="530"/>
      <c r="BE63" s="530"/>
      <c r="BF63" s="530"/>
      <c r="BG63" s="530"/>
      <c r="BH63" s="530"/>
      <c r="BI63" s="530"/>
      <c r="BJ63" s="530"/>
      <c r="BK63" s="530"/>
      <c r="BL63" s="530"/>
      <c r="BM63" s="530"/>
      <c r="BN63" s="530"/>
      <c r="BO63" s="530"/>
      <c r="BP63" s="530"/>
      <c r="BQ63" s="530"/>
      <c r="BR63" s="530"/>
      <c r="BS63" s="530"/>
    </row>
    <row r="64" spans="1:71">
      <c r="B64" t="str">
        <f t="shared" si="14"/>
        <v>Energy Efficient LightingIdaho FreeStall</v>
      </c>
      <c r="C64" t="str">
        <f t="shared" si="15"/>
        <v>Energy Efficient Lighting</v>
      </c>
      <c r="D64" t="str">
        <f t="shared" si="16"/>
        <v>Idaho FreeStall</v>
      </c>
      <c r="E64" s="538">
        <f t="shared" ref="E64:X64" ca="1" si="19">E29*E$61*$AA$25</f>
        <v>110515.80687284913</v>
      </c>
      <c r="F64" s="538">
        <f t="shared" ca="1" si="19"/>
        <v>137864.81928488129</v>
      </c>
      <c r="G64" s="538">
        <f t="shared" ca="1" si="19"/>
        <v>170943.68517376212</v>
      </c>
      <c r="H64" s="538">
        <f t="shared" ca="1" si="19"/>
        <v>201940.6077272938</v>
      </c>
      <c r="I64" s="538">
        <f t="shared" ca="1" si="19"/>
        <v>234403.23851580382</v>
      </c>
      <c r="J64" s="538">
        <f t="shared" ca="1" si="19"/>
        <v>279252.43581686995</v>
      </c>
      <c r="K64" s="538">
        <f t="shared" ca="1" si="19"/>
        <v>311909.34546564659</v>
      </c>
      <c r="L64" s="538">
        <f t="shared" ca="1" si="19"/>
        <v>325144.43557307584</v>
      </c>
      <c r="M64" s="538">
        <f t="shared" ca="1" si="19"/>
        <v>313015.59209096874</v>
      </c>
      <c r="N64" s="538">
        <f t="shared" ca="1" si="19"/>
        <v>275100.85960962466</v>
      </c>
      <c r="O64" s="538">
        <f t="shared" ca="1" si="19"/>
        <v>218450.2476115383</v>
      </c>
      <c r="P64" s="538">
        <f t="shared" ca="1" si="19"/>
        <v>153266.42050291842</v>
      </c>
      <c r="Q64" s="538">
        <f t="shared" ca="1" si="19"/>
        <v>93872.077455084931</v>
      </c>
      <c r="R64" s="538">
        <f t="shared" ca="1" si="19"/>
        <v>48982.850893778792</v>
      </c>
      <c r="S64" s="538">
        <f t="shared" ca="1" si="19"/>
        <v>21428.485703890441</v>
      </c>
      <c r="T64" s="538">
        <f t="shared" ca="1" si="19"/>
        <v>7680.5629411409091</v>
      </c>
      <c r="U64" s="538">
        <f t="shared" ca="1" si="19"/>
        <v>2194.1044794331074</v>
      </c>
      <c r="V64" s="538">
        <f t="shared" ca="1" si="19"/>
        <v>486.20747338778398</v>
      </c>
      <c r="W64" s="538">
        <f t="shared" ca="1" si="19"/>
        <v>81.409528152447336</v>
      </c>
      <c r="X64" s="538">
        <f t="shared" ca="1" si="19"/>
        <v>9.8937729062707547</v>
      </c>
      <c r="Y64" s="538"/>
      <c r="AA64" s="538">
        <f t="shared" ca="1" si="18"/>
        <v>2906543.0864930069</v>
      </c>
      <c r="AC64" s="530"/>
      <c r="AD64" s="530"/>
      <c r="AE64" s="530"/>
      <c r="AF64" s="530"/>
      <c r="AG64" s="530"/>
      <c r="AH64" s="530"/>
      <c r="AI64" s="530"/>
      <c r="AJ64" s="530"/>
      <c r="AK64" s="530"/>
      <c r="AL64" s="530"/>
      <c r="AM64" s="530"/>
      <c r="AN64" s="530"/>
      <c r="AO64" s="530"/>
      <c r="AP64" s="530"/>
      <c r="AQ64" s="530"/>
      <c r="AR64" s="530"/>
      <c r="AS64" s="530"/>
      <c r="AT64" s="530"/>
      <c r="AU64" s="530"/>
      <c r="AV64" s="530"/>
      <c r="AW64" s="530"/>
      <c r="AX64" s="530"/>
      <c r="AY64" s="530"/>
      <c r="AZ64" s="530"/>
      <c r="BA64" s="530"/>
      <c r="BB64" s="530"/>
      <c r="BC64" s="530"/>
      <c r="BD64" s="530"/>
      <c r="BE64" s="530"/>
      <c r="BF64" s="530"/>
      <c r="BG64" s="530"/>
      <c r="BH64" s="530"/>
      <c r="BI64" s="530"/>
      <c r="BJ64" s="530"/>
      <c r="BK64" s="530"/>
      <c r="BL64" s="530"/>
      <c r="BM64" s="530"/>
      <c r="BN64" s="530"/>
      <c r="BO64" s="530"/>
      <c r="BP64" s="530"/>
      <c r="BQ64" s="530"/>
      <c r="BR64" s="530"/>
      <c r="BS64" s="530"/>
    </row>
    <row r="65" spans="2:71">
      <c r="B65" t="str">
        <f t="shared" si="14"/>
        <v>VSD - Vacuum PumpIdaho TieStall</v>
      </c>
      <c r="C65" t="str">
        <f t="shared" si="15"/>
        <v>VSD - Vacuum Pump</v>
      </c>
      <c r="D65" t="str">
        <f t="shared" si="16"/>
        <v>Idaho TieStall</v>
      </c>
      <c r="E65" s="538">
        <f t="shared" ref="E65:X65" si="20">E30*E$61*$AA$25</f>
        <v>1452.0340158661311</v>
      </c>
      <c r="F65" s="538">
        <f t="shared" si="20"/>
        <v>1782.8661984066982</v>
      </c>
      <c r="G65" s="538">
        <f t="shared" si="20"/>
        <v>2181.7064845677023</v>
      </c>
      <c r="H65" s="538">
        <f t="shared" si="20"/>
        <v>2532.6174695339496</v>
      </c>
      <c r="I65" s="538">
        <f t="shared" si="20"/>
        <v>2888.7709367939119</v>
      </c>
      <c r="J65" s="538">
        <f t="shared" si="20"/>
        <v>3377.3204636954838</v>
      </c>
      <c r="K65" s="538">
        <f t="shared" si="20"/>
        <v>3704.9729967989938</v>
      </c>
      <c r="L65" s="538">
        <f t="shared" si="20"/>
        <v>3784.891624215104</v>
      </c>
      <c r="M65" s="538">
        <f t="shared" si="20"/>
        <v>3566.8061275671726</v>
      </c>
      <c r="N65" s="538">
        <f t="shared" si="20"/>
        <v>3065.9719855963958</v>
      </c>
      <c r="O65" s="538">
        <f t="shared" si="20"/>
        <v>2372.5785685955316</v>
      </c>
      <c r="P65" s="538">
        <f t="shared" si="20"/>
        <v>1628.2488255179551</v>
      </c>
      <c r="Q65" s="538">
        <f t="shared" si="20"/>
        <v>974.3565154009159</v>
      </c>
      <c r="R65" s="538">
        <f t="shared" si="20"/>
        <v>498.89068883796568</v>
      </c>
      <c r="S65" s="538">
        <f t="shared" si="20"/>
        <v>214.04110495916871</v>
      </c>
      <c r="T65" s="538">
        <f t="shared" si="20"/>
        <v>75.197050172040022</v>
      </c>
      <c r="U65" s="538">
        <f t="shared" si="20"/>
        <v>21.09535345505768</v>
      </c>
      <c r="V65" s="538">
        <f t="shared" si="20"/>
        <v>4.5978292042805489</v>
      </c>
      <c r="W65" s="538">
        <f t="shared" si="20"/>
        <v>0.75575455051900786</v>
      </c>
      <c r="X65" s="538">
        <f t="shared" si="20"/>
        <v>9.0716276820565864E-2</v>
      </c>
      <c r="Y65" s="538"/>
      <c r="AA65" s="538">
        <f t="shared" si="18"/>
        <v>34127.8107100118</v>
      </c>
      <c r="AC65" s="530"/>
      <c r="AD65" s="530"/>
      <c r="AE65" s="530"/>
      <c r="AF65" s="530"/>
      <c r="AG65" s="530"/>
      <c r="AH65" s="530"/>
      <c r="AI65" s="530"/>
      <c r="AJ65" s="530"/>
      <c r="AK65" s="530"/>
      <c r="AL65" s="530"/>
      <c r="AM65" s="530"/>
      <c r="AN65" s="530"/>
      <c r="AO65" s="530"/>
      <c r="AP65" s="530"/>
      <c r="AQ65" s="530"/>
      <c r="AR65" s="530"/>
      <c r="AS65" s="530"/>
      <c r="AT65" s="530"/>
      <c r="AU65" s="530"/>
      <c r="AV65" s="530"/>
      <c r="AW65" s="530"/>
      <c r="AX65" s="530"/>
      <c r="AY65" s="530"/>
      <c r="AZ65" s="530"/>
      <c r="BA65" s="530"/>
      <c r="BB65" s="530"/>
      <c r="BC65" s="530"/>
      <c r="BD65" s="530"/>
      <c r="BE65" s="530"/>
      <c r="BF65" s="530"/>
      <c r="BG65" s="530"/>
      <c r="BH65" s="530"/>
      <c r="BI65" s="530"/>
      <c r="BJ65" s="530"/>
      <c r="BK65" s="530"/>
      <c r="BL65" s="530"/>
      <c r="BM65" s="530"/>
      <c r="BN65" s="530"/>
      <c r="BO65" s="530"/>
      <c r="BP65" s="530"/>
      <c r="BQ65" s="530"/>
      <c r="BR65" s="530"/>
      <c r="BS65" s="530"/>
    </row>
    <row r="66" spans="2:71">
      <c r="B66" t="str">
        <f t="shared" si="14"/>
        <v>Heat Recovery RefrigerationIdaho TieStall</v>
      </c>
      <c r="C66" t="str">
        <f>C31</f>
        <v>Heat Recovery Refrigeration</v>
      </c>
      <c r="D66" t="str">
        <f t="shared" si="16"/>
        <v>Idaho TieStall</v>
      </c>
      <c r="E66" s="538">
        <f t="shared" ref="E66:X66" si="21">E31*E$61*$AA$25</f>
        <v>7616.3805985970439</v>
      </c>
      <c r="F66" s="538">
        <f t="shared" si="21"/>
        <v>9351.7007005785945</v>
      </c>
      <c r="G66" s="538">
        <f t="shared" si="21"/>
        <v>11443.744953166972</v>
      </c>
      <c r="H66" s="538">
        <f t="shared" si="21"/>
        <v>13284.384764994848</v>
      </c>
      <c r="I66" s="538">
        <f t="shared" si="21"/>
        <v>15152.523065146024</v>
      </c>
      <c r="J66" s="538">
        <f t="shared" si="21"/>
        <v>17715.120840052386</v>
      </c>
      <c r="K66" s="538">
        <f t="shared" si="21"/>
        <v>19433.762668647691</v>
      </c>
      <c r="L66" s="538">
        <f t="shared" si="21"/>
        <v>19852.961307706766</v>
      </c>
      <c r="M66" s="538">
        <f t="shared" si="21"/>
        <v>18709.033460731422</v>
      </c>
      <c r="N66" s="538">
        <f t="shared" si="21"/>
        <v>16081.998969569131</v>
      </c>
      <c r="O66" s="538">
        <f t="shared" si="21"/>
        <v>12444.929788865322</v>
      </c>
      <c r="P66" s="538">
        <f t="shared" si="21"/>
        <v>8540.6833647530129</v>
      </c>
      <c r="Q66" s="538">
        <f t="shared" si="21"/>
        <v>5110.8100629374912</v>
      </c>
      <c r="R66" s="538">
        <f t="shared" si="21"/>
        <v>2616.8404608756155</v>
      </c>
      <c r="S66" s="538">
        <f t="shared" si="21"/>
        <v>1122.7137252296868</v>
      </c>
      <c r="T66" s="538">
        <f t="shared" si="21"/>
        <v>394.43246352629279</v>
      </c>
      <c r="U66" s="538">
        <f t="shared" si="21"/>
        <v>110.65184356566843</v>
      </c>
      <c r="V66" s="538">
        <f t="shared" si="21"/>
        <v>24.117077674834441</v>
      </c>
      <c r="W66" s="538">
        <f t="shared" si="21"/>
        <v>3.9641731756820513</v>
      </c>
      <c r="X66" s="538">
        <f t="shared" si="21"/>
        <v>0.47583574709920312</v>
      </c>
      <c r="Y66" s="538"/>
      <c r="AA66" s="538">
        <f>SUM(E66:X66)</f>
        <v>179011.23012554157</v>
      </c>
      <c r="AC66" s="530"/>
      <c r="AD66" s="530"/>
      <c r="AE66" s="530"/>
      <c r="AF66" s="530"/>
      <c r="AG66" s="530"/>
      <c r="AH66" s="530"/>
      <c r="AI66" s="530"/>
      <c r="AJ66" s="530"/>
      <c r="AK66" s="530"/>
      <c r="AL66" s="530"/>
      <c r="AM66" s="530"/>
      <c r="AN66" s="530"/>
      <c r="AO66" s="530"/>
      <c r="AP66" s="530"/>
      <c r="AQ66" s="530"/>
      <c r="AR66" s="530"/>
      <c r="AS66" s="530"/>
      <c r="AT66" s="530"/>
      <c r="AU66" s="530"/>
      <c r="AV66" s="530"/>
      <c r="AW66" s="530"/>
      <c r="AX66" s="530"/>
      <c r="AY66" s="530"/>
      <c r="AZ66" s="530"/>
      <c r="BA66" s="530"/>
      <c r="BB66" s="530"/>
      <c r="BC66" s="530"/>
      <c r="BD66" s="530"/>
      <c r="BE66" s="530"/>
      <c r="BF66" s="530"/>
      <c r="BG66" s="530"/>
      <c r="BH66" s="530"/>
      <c r="BI66" s="530"/>
      <c r="BJ66" s="530"/>
      <c r="BK66" s="530"/>
      <c r="BL66" s="530"/>
      <c r="BM66" s="530"/>
      <c r="BN66" s="530"/>
      <c r="BO66" s="530"/>
      <c r="BP66" s="530"/>
      <c r="BQ66" s="530"/>
      <c r="BR66" s="530"/>
      <c r="BS66" s="530"/>
    </row>
    <row r="67" spans="2:71">
      <c r="B67" t="str">
        <f t="shared" si="14"/>
        <v>Plate Milk Pre-CoolerIdaho TieStall</v>
      </c>
      <c r="C67" t="str">
        <f t="shared" ref="C67:C68" si="22">C32</f>
        <v>Plate Milk Pre-Cooler</v>
      </c>
      <c r="D67" t="str">
        <f t="shared" si="16"/>
        <v>Idaho TieStall</v>
      </c>
      <c r="E67" s="538">
        <f t="shared" ref="E67:X67" si="23">E32*E$61*$AA$25</f>
        <v>4885.4720744336746</v>
      </c>
      <c r="F67" s="538">
        <f t="shared" si="23"/>
        <v>5998.5805632604934</v>
      </c>
      <c r="G67" s="538">
        <f t="shared" si="23"/>
        <v>7340.507170287282</v>
      </c>
      <c r="H67" s="538">
        <f t="shared" si="23"/>
        <v>8521.1722228494327</v>
      </c>
      <c r="I67" s="538">
        <f t="shared" si="23"/>
        <v>9719.4759812316952</v>
      </c>
      <c r="J67" s="538">
        <f t="shared" si="23"/>
        <v>11363.235731055256</v>
      </c>
      <c r="K67" s="538">
        <f t="shared" si="23"/>
        <v>12465.646062427431</v>
      </c>
      <c r="L67" s="538">
        <f t="shared" si="23"/>
        <v>12734.537987962372</v>
      </c>
      <c r="M67" s="538">
        <f t="shared" si="23"/>
        <v>12000.773770271555</v>
      </c>
      <c r="N67" s="538">
        <f t="shared" si="23"/>
        <v>10315.681556325266</v>
      </c>
      <c r="O67" s="538">
        <f t="shared" si="23"/>
        <v>7982.7099190642693</v>
      </c>
      <c r="P67" s="538">
        <f t="shared" si="23"/>
        <v>5478.3593775194176</v>
      </c>
      <c r="Q67" s="538">
        <f t="shared" si="23"/>
        <v>3278.2920334646906</v>
      </c>
      <c r="R67" s="538">
        <f t="shared" si="23"/>
        <v>1678.5533271815357</v>
      </c>
      <c r="S67" s="538">
        <f t="shared" si="23"/>
        <v>720.15657321581125</v>
      </c>
      <c r="T67" s="538">
        <f t="shared" si="23"/>
        <v>253.00584193005508</v>
      </c>
      <c r="U67" s="538">
        <f t="shared" si="23"/>
        <v>70.976822222389188</v>
      </c>
      <c r="V67" s="538">
        <f t="shared" si="23"/>
        <v>15.469724493423399</v>
      </c>
      <c r="W67" s="538">
        <f t="shared" si="23"/>
        <v>2.5427901215416071</v>
      </c>
      <c r="X67" s="538">
        <f t="shared" si="23"/>
        <v>0.30522138755758255</v>
      </c>
      <c r="Y67" s="538"/>
      <c r="AA67" s="538">
        <f t="shared" ref="AA67:AA68" si="24">SUM(E67:X67)</f>
        <v>114825.45475070516</v>
      </c>
      <c r="AC67" s="530"/>
      <c r="AD67" s="530"/>
      <c r="AE67" s="530"/>
      <c r="AF67" s="530"/>
      <c r="AG67" s="530"/>
      <c r="AH67" s="530"/>
      <c r="AI67" s="530"/>
      <c r="AJ67" s="530"/>
      <c r="AK67" s="530"/>
      <c r="AL67" s="530"/>
      <c r="AM67" s="530"/>
      <c r="AN67" s="530"/>
      <c r="AO67" s="530"/>
      <c r="AP67" s="530"/>
      <c r="AQ67" s="530"/>
      <c r="AR67" s="530"/>
      <c r="AS67" s="530"/>
      <c r="AT67" s="530"/>
      <c r="AU67" s="530"/>
      <c r="AV67" s="530"/>
      <c r="AW67" s="530"/>
      <c r="AX67" s="530"/>
      <c r="AY67" s="530"/>
      <c r="AZ67" s="530"/>
      <c r="BA67" s="530"/>
      <c r="BB67" s="530"/>
      <c r="BC67" s="530"/>
      <c r="BD67" s="530"/>
      <c r="BE67" s="530"/>
      <c r="BF67" s="530"/>
      <c r="BG67" s="530"/>
      <c r="BH67" s="530"/>
      <c r="BI67" s="530"/>
      <c r="BJ67" s="530"/>
      <c r="BK67" s="530"/>
      <c r="BL67" s="530"/>
      <c r="BM67" s="530"/>
      <c r="BN67" s="530"/>
      <c r="BO67" s="530"/>
      <c r="BP67" s="530"/>
      <c r="BQ67" s="530"/>
      <c r="BR67" s="530"/>
      <c r="BS67" s="530"/>
    </row>
    <row r="68" spans="2:71">
      <c r="B68" t="str">
        <f t="shared" si="14"/>
        <v>Energy Efficient LightingIdaho TieStall</v>
      </c>
      <c r="C68" t="str">
        <f t="shared" si="22"/>
        <v>Energy Efficient Lighting</v>
      </c>
      <c r="D68" t="str">
        <f t="shared" si="16"/>
        <v>Idaho TieStall</v>
      </c>
      <c r="E68" s="538">
        <f t="shared" ref="E68:X68" si="25">E33*E$61*$AA$25</f>
        <v>650.62823038823035</v>
      </c>
      <c r="F68" s="538">
        <f t="shared" si="25"/>
        <v>798.86770352030476</v>
      </c>
      <c r="G68" s="538">
        <f t="shared" si="25"/>
        <v>977.58028652937492</v>
      </c>
      <c r="H68" s="538">
        <f t="shared" si="25"/>
        <v>1134.8166809097042</v>
      </c>
      <c r="I68" s="538">
        <f t="shared" si="25"/>
        <v>1294.402129747664</v>
      </c>
      <c r="J68" s="538">
        <f t="shared" si="25"/>
        <v>1513.3116805376105</v>
      </c>
      <c r="K68" s="538">
        <f t="shared" si="25"/>
        <v>1660.1264145355583</v>
      </c>
      <c r="L68" s="538">
        <f t="shared" si="25"/>
        <v>1695.9363987112968</v>
      </c>
      <c r="M68" s="538">
        <f t="shared" si="25"/>
        <v>1598.216524929453</v>
      </c>
      <c r="N68" s="538">
        <f t="shared" si="25"/>
        <v>1373.802476809456</v>
      </c>
      <c r="O68" s="538">
        <f t="shared" si="25"/>
        <v>1063.1063588558991</v>
      </c>
      <c r="P68" s="538">
        <f t="shared" si="25"/>
        <v>729.58666284862761</v>
      </c>
      <c r="Q68" s="538">
        <f t="shared" si="25"/>
        <v>436.59022340767694</v>
      </c>
      <c r="R68" s="538">
        <f t="shared" si="25"/>
        <v>223.54322453127457</v>
      </c>
      <c r="S68" s="538">
        <f t="shared" si="25"/>
        <v>95.907660446134116</v>
      </c>
      <c r="T68" s="538">
        <f t="shared" si="25"/>
        <v>33.694337149991398</v>
      </c>
      <c r="U68" s="538">
        <f t="shared" si="25"/>
        <v>9.4524180135624363</v>
      </c>
      <c r="V68" s="538">
        <f t="shared" si="25"/>
        <v>2.0601979334650626</v>
      </c>
      <c r="W68" s="538">
        <f t="shared" si="25"/>
        <v>0.33863893024484615</v>
      </c>
      <c r="X68" s="538">
        <f t="shared" si="25"/>
        <v>4.064820108223631E-2</v>
      </c>
      <c r="Y68" s="538"/>
      <c r="AA68" s="538">
        <f t="shared" si="24"/>
        <v>15292.00889693661</v>
      </c>
      <c r="AC68" s="530"/>
      <c r="AD68" s="530"/>
      <c r="AE68" s="530"/>
      <c r="AF68" s="530"/>
      <c r="AG68" s="530"/>
      <c r="AH68" s="530"/>
      <c r="AI68" s="530"/>
      <c r="AJ68" s="530"/>
      <c r="AK68" s="530"/>
      <c r="AL68" s="530"/>
      <c r="AM68" s="530"/>
      <c r="AN68" s="530"/>
      <c r="AO68" s="530"/>
      <c r="AP68" s="530"/>
      <c r="AQ68" s="530"/>
      <c r="AR68" s="530"/>
      <c r="AS68" s="530"/>
      <c r="AT68" s="530"/>
      <c r="AU68" s="530"/>
      <c r="AV68" s="530"/>
      <c r="AW68" s="530"/>
      <c r="AX68" s="530"/>
      <c r="AY68" s="530"/>
      <c r="AZ68" s="530"/>
      <c r="BA68" s="530"/>
      <c r="BB68" s="530"/>
      <c r="BC68" s="530"/>
      <c r="BD68" s="530"/>
      <c r="BE68" s="530"/>
      <c r="BF68" s="530"/>
      <c r="BG68" s="530"/>
      <c r="BH68" s="530"/>
      <c r="BI68" s="530"/>
      <c r="BJ68" s="530"/>
      <c r="BK68" s="530"/>
      <c r="BL68" s="530"/>
      <c r="BM68" s="530"/>
      <c r="BN68" s="530"/>
      <c r="BO68" s="530"/>
      <c r="BP68" s="530"/>
      <c r="BQ68" s="530"/>
      <c r="BR68" s="530"/>
      <c r="BS68" s="530"/>
    </row>
    <row r="69" spans="2:71">
      <c r="B69" t="str">
        <f t="shared" si="14"/>
        <v>VSD - Vacuum PumpMontana FreeStall</v>
      </c>
      <c r="C69" t="str">
        <f>C34</f>
        <v>VSD - Vacuum Pump</v>
      </c>
      <c r="D69" t="str">
        <f>CONCATENATE(D34," ",B34)</f>
        <v>Montana FreeStall</v>
      </c>
      <c r="E69" s="538">
        <f t="shared" ref="E69:X69" ca="1" si="26">E34*E$61*$AA$25</f>
        <v>7.0001203060578332</v>
      </c>
      <c r="F69" s="538">
        <f t="shared" ca="1" si="26"/>
        <v>8.6122006140601712</v>
      </c>
      <c r="G69" s="538">
        <f t="shared" ca="1" si="26"/>
        <v>10.538982759423515</v>
      </c>
      <c r="H69" s="538">
        <f t="shared" ca="1" si="26"/>
        <v>12.252215329797229</v>
      </c>
      <c r="I69" s="538">
        <f t="shared" ca="1" si="26"/>
        <v>13.966935063059964</v>
      </c>
      <c r="J69" s="538">
        <f t="shared" ca="1" si="26"/>
        <v>16.319834144585538</v>
      </c>
      <c r="K69" s="538">
        <f t="shared" ca="1" si="26"/>
        <v>17.926716077057755</v>
      </c>
      <c r="L69" s="538">
        <f t="shared" ca="1" si="26"/>
        <v>18.330925565473404</v>
      </c>
      <c r="M69" s="538">
        <f t="shared" ca="1" si="26"/>
        <v>17.233335262080661</v>
      </c>
      <c r="N69" s="538">
        <f t="shared" ca="1" si="26"/>
        <v>14.81119611154074</v>
      </c>
      <c r="O69" s="538">
        <f t="shared" ca="1" si="26"/>
        <v>11.461652371733052</v>
      </c>
      <c r="P69" s="538">
        <f t="shared" ca="1" si="26"/>
        <v>7.8168906476623219</v>
      </c>
      <c r="Q69" s="538">
        <f t="shared" ca="1" si="26"/>
        <v>4.6743605847598202</v>
      </c>
      <c r="R69" s="538">
        <f t="shared" ca="1" si="26"/>
        <v>2.3899957209881015</v>
      </c>
      <c r="S69" s="538">
        <f t="shared" ca="1" si="26"/>
        <v>1.0231407133036401</v>
      </c>
      <c r="T69" s="538">
        <f t="shared" ca="1" si="26"/>
        <v>0.35850280923190658</v>
      </c>
      <c r="U69" s="538">
        <f t="shared" ca="1" si="26"/>
        <v>0.10057188607594814</v>
      </c>
      <c r="V69" s="538">
        <f t="shared" ca="1" si="26"/>
        <v>2.1836215325814472E-2</v>
      </c>
      <c r="W69" s="538">
        <f t="shared" ca="1" si="26"/>
        <v>3.5758884213305669E-3</v>
      </c>
      <c r="X69" s="538">
        <f t="shared" ca="1" si="26"/>
        <v>4.2924597695687979E-4</v>
      </c>
      <c r="Y69" s="538"/>
      <c r="AA69" s="538">
        <f ca="1">SUM(E69:X69)</f>
        <v>164.8434173166157</v>
      </c>
      <c r="AC69" s="530"/>
      <c r="AD69" s="530"/>
      <c r="AE69" s="530"/>
      <c r="AF69" s="530"/>
      <c r="AG69" s="530"/>
      <c r="AH69" s="530"/>
      <c r="AI69" s="530"/>
      <c r="AJ69" s="530"/>
      <c r="AK69" s="530"/>
      <c r="AL69" s="530"/>
      <c r="AM69" s="530"/>
      <c r="AN69" s="530"/>
      <c r="AO69" s="530"/>
      <c r="AP69" s="530"/>
      <c r="AQ69" s="530"/>
      <c r="AR69" s="530"/>
      <c r="AS69" s="530"/>
      <c r="AT69" s="530"/>
      <c r="AU69" s="530"/>
      <c r="AV69" s="530"/>
      <c r="AW69" s="530"/>
      <c r="AX69" s="530"/>
      <c r="AY69" s="530"/>
      <c r="AZ69" s="530"/>
      <c r="BA69" s="530"/>
      <c r="BB69" s="530"/>
      <c r="BC69" s="530"/>
      <c r="BD69" s="530"/>
      <c r="BE69" s="530"/>
      <c r="BF69" s="530"/>
      <c r="BG69" s="530"/>
      <c r="BH69" s="530"/>
      <c r="BI69" s="530"/>
      <c r="BJ69" s="530"/>
      <c r="BK69" s="530"/>
      <c r="BL69" s="530"/>
      <c r="BM69" s="530"/>
      <c r="BN69" s="530"/>
      <c r="BO69" s="530"/>
      <c r="BP69" s="530"/>
      <c r="BQ69" s="530"/>
      <c r="BR69" s="530"/>
      <c r="BS69" s="530"/>
    </row>
    <row r="70" spans="2:71">
      <c r="B70" t="str">
        <f t="shared" si="14"/>
        <v>Plate Milk Pre-coolerMontana FreeStall</v>
      </c>
      <c r="C70" t="str">
        <f t="shared" ref="C70:C72" si="27">C35</f>
        <v>Plate Milk Pre-cooler</v>
      </c>
      <c r="D70" t="str">
        <f t="shared" ref="D70:D75" si="28">CONCATENATE(D35," ",B35)</f>
        <v>Montana FreeStall</v>
      </c>
      <c r="E70" s="538">
        <f t="shared" ref="E70:X70" ca="1" si="29">E35*E$61*$AA$25</f>
        <v>133.00228581509882</v>
      </c>
      <c r="F70" s="538">
        <f t="shared" ca="1" si="29"/>
        <v>163.63181166714324</v>
      </c>
      <c r="G70" s="538">
        <f t="shared" ca="1" si="29"/>
        <v>200.24067242904681</v>
      </c>
      <c r="H70" s="538">
        <f t="shared" ca="1" si="29"/>
        <v>232.79209126614734</v>
      </c>
      <c r="I70" s="538">
        <f t="shared" ca="1" si="29"/>
        <v>265.37176619813926</v>
      </c>
      <c r="J70" s="538">
        <f t="shared" ca="1" si="29"/>
        <v>310.07684874712527</v>
      </c>
      <c r="K70" s="538">
        <f t="shared" ca="1" si="29"/>
        <v>340.60760546409739</v>
      </c>
      <c r="L70" s="538">
        <f t="shared" ca="1" si="29"/>
        <v>348.28758574399473</v>
      </c>
      <c r="M70" s="538">
        <f t="shared" ca="1" si="29"/>
        <v>327.43336997953253</v>
      </c>
      <c r="N70" s="538">
        <f t="shared" ca="1" si="29"/>
        <v>281.41272611927411</v>
      </c>
      <c r="O70" s="538">
        <f t="shared" ca="1" si="29"/>
        <v>217.77139506292801</v>
      </c>
      <c r="P70" s="538">
        <f t="shared" ca="1" si="29"/>
        <v>148.52092230558412</v>
      </c>
      <c r="Q70" s="538">
        <f t="shared" ca="1" si="29"/>
        <v>88.812851110436583</v>
      </c>
      <c r="R70" s="538">
        <f t="shared" ca="1" si="29"/>
        <v>45.409918698773929</v>
      </c>
      <c r="S70" s="538">
        <f t="shared" ca="1" si="29"/>
        <v>19.439673552769161</v>
      </c>
      <c r="T70" s="538">
        <f t="shared" ca="1" si="29"/>
        <v>6.8115533754062252</v>
      </c>
      <c r="U70" s="538">
        <f t="shared" ca="1" si="29"/>
        <v>1.9108658354430146</v>
      </c>
      <c r="V70" s="538">
        <f t="shared" ca="1" si="29"/>
        <v>0.41488809119047498</v>
      </c>
      <c r="W70" s="538">
        <f t="shared" ca="1" si="29"/>
        <v>6.7941880005280772E-2</v>
      </c>
      <c r="X70" s="538">
        <f t="shared" ca="1" si="29"/>
        <v>8.1556735621807139E-3</v>
      </c>
      <c r="Y70" s="538"/>
      <c r="AA70" s="538">
        <f t="shared" ref="AA70:AA72" ca="1" si="30">SUM(E70:X70)</f>
        <v>3132.0249290156985</v>
      </c>
      <c r="AC70" s="530"/>
      <c r="AD70" s="530"/>
      <c r="AE70" s="530"/>
      <c r="AF70" s="530"/>
      <c r="AG70" s="530"/>
      <c r="AH70" s="530"/>
      <c r="AI70" s="530"/>
      <c r="AJ70" s="530"/>
      <c r="AK70" s="530"/>
      <c r="AL70" s="530"/>
      <c r="AM70" s="530"/>
      <c r="AN70" s="530"/>
      <c r="AO70" s="530"/>
      <c r="AP70" s="530"/>
      <c r="AQ70" s="530"/>
      <c r="AR70" s="530"/>
      <c r="AS70" s="530"/>
      <c r="AT70" s="530"/>
      <c r="AU70" s="530"/>
      <c r="AV70" s="530"/>
      <c r="AW70" s="530"/>
      <c r="AX70" s="530"/>
      <c r="AY70" s="530"/>
      <c r="AZ70" s="530"/>
      <c r="BA70" s="530"/>
      <c r="BB70" s="530"/>
      <c r="BC70" s="530"/>
      <c r="BD70" s="530"/>
      <c r="BE70" s="530"/>
      <c r="BF70" s="530"/>
      <c r="BG70" s="530"/>
      <c r="BH70" s="530"/>
      <c r="BI70" s="530"/>
      <c r="BJ70" s="530"/>
      <c r="BK70" s="530"/>
      <c r="BL70" s="530"/>
      <c r="BM70" s="530"/>
      <c r="BN70" s="530"/>
      <c r="BO70" s="530"/>
      <c r="BP70" s="530"/>
      <c r="BQ70" s="530"/>
      <c r="BR70" s="530"/>
      <c r="BS70" s="530"/>
    </row>
    <row r="71" spans="2:71">
      <c r="B71" t="str">
        <f t="shared" si="14"/>
        <v>Energy Efficient LightingMontana FreeStall</v>
      </c>
      <c r="C71" t="str">
        <f t="shared" si="27"/>
        <v>Energy Efficient Lighting</v>
      </c>
      <c r="D71" t="str">
        <f t="shared" si="28"/>
        <v>Montana FreeStall</v>
      </c>
      <c r="E71" s="538">
        <f t="shared" ref="E71:X71" ca="1" si="31">E36*E$61*$AA$25</f>
        <v>632.70579906243734</v>
      </c>
      <c r="F71" s="538">
        <f t="shared" ca="1" si="31"/>
        <v>778.41366047515714</v>
      </c>
      <c r="G71" s="538">
        <f t="shared" ca="1" si="31"/>
        <v>952.56584409496827</v>
      </c>
      <c r="H71" s="538">
        <f t="shared" ca="1" si="31"/>
        <v>1107.4163516612505</v>
      </c>
      <c r="I71" s="538">
        <f t="shared" ca="1" si="31"/>
        <v>1262.4012764293652</v>
      </c>
      <c r="J71" s="538">
        <f t="shared" ca="1" si="31"/>
        <v>1475.0680347708778</v>
      </c>
      <c r="K71" s="538">
        <f t="shared" ca="1" si="31"/>
        <v>1620.3060410668554</v>
      </c>
      <c r="L71" s="538">
        <f t="shared" ca="1" si="31"/>
        <v>1656.8405113580761</v>
      </c>
      <c r="M71" s="538">
        <f t="shared" ca="1" si="31"/>
        <v>1557.6348235143519</v>
      </c>
      <c r="N71" s="538">
        <f t="shared" ca="1" si="31"/>
        <v>1338.7098022748512</v>
      </c>
      <c r="O71" s="538">
        <f t="shared" ca="1" si="31"/>
        <v>1035.9613271442722</v>
      </c>
      <c r="P71" s="538">
        <f t="shared" ca="1" si="31"/>
        <v>706.5295776606647</v>
      </c>
      <c r="Q71" s="538">
        <f t="shared" ca="1" si="31"/>
        <v>422.4920315050926</v>
      </c>
      <c r="R71" s="538">
        <f t="shared" ca="1" si="31"/>
        <v>216.01973770293225</v>
      </c>
      <c r="S71" s="538">
        <f t="shared" ca="1" si="31"/>
        <v>92.476562439060416</v>
      </c>
      <c r="T71" s="538">
        <f t="shared" ca="1" si="31"/>
        <v>32.403272581602401</v>
      </c>
      <c r="U71" s="538">
        <f t="shared" ca="1" si="31"/>
        <v>9.0901888483019846</v>
      </c>
      <c r="V71" s="538">
        <f t="shared" ca="1" si="31"/>
        <v>1.9736660888903221</v>
      </c>
      <c r="W71" s="538">
        <f t="shared" ca="1" si="31"/>
        <v>0.32320663675139161</v>
      </c>
      <c r="X71" s="538">
        <f t="shared" ca="1" si="31"/>
        <v>3.8797393040489757E-2</v>
      </c>
      <c r="Y71" s="538"/>
      <c r="AA71" s="538">
        <f t="shared" ca="1" si="30"/>
        <v>14899.370512708801</v>
      </c>
      <c r="AC71" s="530"/>
      <c r="AD71" s="530"/>
      <c r="AE71" s="530"/>
      <c r="AF71" s="530"/>
      <c r="AG71" s="530"/>
      <c r="AH71" s="530"/>
      <c r="AI71" s="530"/>
      <c r="AJ71" s="530"/>
      <c r="AK71" s="530"/>
      <c r="AL71" s="530"/>
      <c r="AM71" s="530"/>
      <c r="AN71" s="530"/>
      <c r="AO71" s="530"/>
      <c r="AP71" s="530"/>
      <c r="AQ71" s="530"/>
      <c r="AR71" s="530"/>
      <c r="AS71" s="530"/>
      <c r="AT71" s="530"/>
      <c r="AU71" s="530"/>
      <c r="AV71" s="530"/>
      <c r="AW71" s="530"/>
      <c r="AX71" s="530"/>
      <c r="AY71" s="530"/>
      <c r="AZ71" s="530"/>
      <c r="BA71" s="530"/>
      <c r="BB71" s="530"/>
      <c r="BC71" s="530"/>
      <c r="BD71" s="530"/>
      <c r="BE71" s="530"/>
      <c r="BF71" s="530"/>
      <c r="BG71" s="530"/>
      <c r="BH71" s="530"/>
      <c r="BI71" s="530"/>
      <c r="BJ71" s="530"/>
      <c r="BK71" s="530"/>
      <c r="BL71" s="530"/>
      <c r="BM71" s="530"/>
      <c r="BN71" s="530"/>
      <c r="BO71" s="530"/>
      <c r="BP71" s="530"/>
      <c r="BQ71" s="530"/>
      <c r="BR71" s="530"/>
      <c r="BS71" s="530"/>
    </row>
    <row r="72" spans="2:71">
      <c r="B72" t="str">
        <f t="shared" si="14"/>
        <v>VSD - Vacuum PumpMontana TieStall</v>
      </c>
      <c r="C72" t="str">
        <f t="shared" si="27"/>
        <v>VSD - Vacuum Pump</v>
      </c>
      <c r="D72" t="str">
        <f t="shared" si="28"/>
        <v>Montana TieStall</v>
      </c>
      <c r="E72" s="538">
        <f t="shared" ref="E72:X72" si="32">E37*E$61*$AA$25</f>
        <v>82.890245386315499</v>
      </c>
      <c r="F72" s="538">
        <f t="shared" si="32"/>
        <v>101.77600184438333</v>
      </c>
      <c r="G72" s="538">
        <f t="shared" si="32"/>
        <v>124.54404228186151</v>
      </c>
      <c r="H72" s="538">
        <f t="shared" si="32"/>
        <v>144.57600939473636</v>
      </c>
      <c r="I72" s="538">
        <f t="shared" si="32"/>
        <v>164.90724679949909</v>
      </c>
      <c r="J72" s="538">
        <f t="shared" si="32"/>
        <v>192.79639383444922</v>
      </c>
      <c r="K72" s="538">
        <f t="shared" si="32"/>
        <v>211.50063806952488</v>
      </c>
      <c r="L72" s="538">
        <f t="shared" si="32"/>
        <v>216.06284154759385</v>
      </c>
      <c r="M72" s="538">
        <f t="shared" si="32"/>
        <v>203.61329826223175</v>
      </c>
      <c r="N72" s="538">
        <f t="shared" si="32"/>
        <v>175.02287650063175</v>
      </c>
      <c r="O72" s="538">
        <f t="shared" si="32"/>
        <v>135.4400913479206</v>
      </c>
      <c r="P72" s="538">
        <f t="shared" si="32"/>
        <v>92.949575025387261</v>
      </c>
      <c r="Q72" s="538">
        <f t="shared" si="32"/>
        <v>55.62173459632178</v>
      </c>
      <c r="R72" s="538">
        <f t="shared" si="32"/>
        <v>28.479478556884899</v>
      </c>
      <c r="S72" s="538">
        <f t="shared" si="32"/>
        <v>12.218666724719006</v>
      </c>
      <c r="T72" s="538">
        <f t="shared" si="32"/>
        <v>4.2926693679207384</v>
      </c>
      <c r="U72" s="538">
        <f t="shared" si="32"/>
        <v>1.2042410889098623</v>
      </c>
      <c r="V72" s="538">
        <f t="shared" si="32"/>
        <v>0.2624698779937667</v>
      </c>
      <c r="W72" s="538">
        <f t="shared" si="32"/>
        <v>4.31427084075423E-2</v>
      </c>
      <c r="X72" s="538">
        <f t="shared" si="32"/>
        <v>5.1785938648994312E-3</v>
      </c>
      <c r="Y72" s="538"/>
      <c r="AA72" s="538">
        <f t="shared" si="30"/>
        <v>1948.2068418095575</v>
      </c>
      <c r="AC72" s="530"/>
      <c r="AD72" s="530"/>
      <c r="AE72" s="530"/>
      <c r="AF72" s="530"/>
      <c r="AG72" s="530"/>
      <c r="AH72" s="530"/>
      <c r="AI72" s="530"/>
      <c r="AJ72" s="530"/>
      <c r="AK72" s="530"/>
      <c r="AL72" s="530"/>
      <c r="AM72" s="530"/>
      <c r="AN72" s="530"/>
      <c r="AO72" s="530"/>
      <c r="AP72" s="530"/>
      <c r="AQ72" s="530"/>
      <c r="AR72" s="530"/>
      <c r="AS72" s="530"/>
      <c r="AT72" s="530"/>
      <c r="AU72" s="530"/>
      <c r="AV72" s="530"/>
      <c r="AW72" s="530"/>
      <c r="AX72" s="530"/>
      <c r="AY72" s="530"/>
      <c r="AZ72" s="530"/>
      <c r="BA72" s="530"/>
      <c r="BB72" s="530"/>
      <c r="BC72" s="530"/>
      <c r="BD72" s="530"/>
      <c r="BE72" s="530"/>
      <c r="BF72" s="530"/>
      <c r="BG72" s="530"/>
      <c r="BH72" s="530"/>
      <c r="BI72" s="530"/>
      <c r="BJ72" s="530"/>
      <c r="BK72" s="530"/>
      <c r="BL72" s="530"/>
      <c r="BM72" s="530"/>
      <c r="BN72" s="530"/>
      <c r="BO72" s="530"/>
      <c r="BP72" s="530"/>
      <c r="BQ72" s="530"/>
      <c r="BR72" s="530"/>
      <c r="BS72" s="530"/>
    </row>
    <row r="73" spans="2:71">
      <c r="B73" t="str">
        <f t="shared" si="14"/>
        <v>Heat Recovery RefrigerationMontana TieStall</v>
      </c>
      <c r="C73" t="str">
        <f>C38</f>
        <v>Heat Recovery Refrigeration</v>
      </c>
      <c r="D73" t="str">
        <f t="shared" si="28"/>
        <v>Montana TieStall</v>
      </c>
      <c r="E73" s="538">
        <f t="shared" ref="E73:X73" si="33">E38*E$61*$AA$25</f>
        <v>434.78572118484436</v>
      </c>
      <c r="F73" s="538">
        <f t="shared" si="33"/>
        <v>533.84752518208484</v>
      </c>
      <c r="G73" s="538">
        <f t="shared" si="33"/>
        <v>653.27314439021575</v>
      </c>
      <c r="H73" s="538">
        <f t="shared" si="33"/>
        <v>758.34718811310063</v>
      </c>
      <c r="I73" s="538">
        <f t="shared" si="33"/>
        <v>864.99099977527999</v>
      </c>
      <c r="J73" s="538">
        <f t="shared" si="33"/>
        <v>1011.2784531457922</v>
      </c>
      <c r="K73" s="538">
        <f t="shared" si="33"/>
        <v>1109.3881677577292</v>
      </c>
      <c r="L73" s="538">
        <f t="shared" si="33"/>
        <v>1133.3183771588426</v>
      </c>
      <c r="M73" s="538">
        <f t="shared" si="33"/>
        <v>1068.0165599121813</v>
      </c>
      <c r="N73" s="538">
        <f t="shared" si="33"/>
        <v>918.05069738321924</v>
      </c>
      <c r="O73" s="538">
        <f t="shared" si="33"/>
        <v>710.42638997626477</v>
      </c>
      <c r="P73" s="538">
        <f t="shared" si="33"/>
        <v>487.5501070468502</v>
      </c>
      <c r="Q73" s="538">
        <f t="shared" si="33"/>
        <v>291.75370246890685</v>
      </c>
      <c r="R73" s="538">
        <f t="shared" si="33"/>
        <v>149.38393010678377</v>
      </c>
      <c r="S73" s="538">
        <f t="shared" si="33"/>
        <v>64.090796197609805</v>
      </c>
      <c r="T73" s="538">
        <f t="shared" si="33"/>
        <v>22.516417200130935</v>
      </c>
      <c r="U73" s="538">
        <f t="shared" si="33"/>
        <v>6.316627823719009</v>
      </c>
      <c r="V73" s="538">
        <f t="shared" si="33"/>
        <v>1.3767380547730641</v>
      </c>
      <c r="W73" s="538">
        <f t="shared" si="33"/>
        <v>0.2262972380093532</v>
      </c>
      <c r="X73" s="538">
        <f t="shared" si="33"/>
        <v>2.7163373178352618E-2</v>
      </c>
      <c r="Y73" s="538"/>
      <c r="AA73" s="538">
        <f>SUM(E73:X73)</f>
        <v>10218.965003489515</v>
      </c>
      <c r="AC73" s="530"/>
      <c r="AD73" s="530"/>
      <c r="AE73" s="530"/>
      <c r="AF73" s="530"/>
      <c r="AG73" s="530"/>
      <c r="AH73" s="530"/>
      <c r="AI73" s="530"/>
      <c r="AJ73" s="530"/>
      <c r="AK73" s="530"/>
      <c r="AL73" s="530"/>
      <c r="AM73" s="530"/>
      <c r="AN73" s="530"/>
      <c r="AO73" s="530"/>
      <c r="AP73" s="530"/>
      <c r="AQ73" s="530"/>
      <c r="AR73" s="530"/>
      <c r="AS73" s="530"/>
      <c r="AT73" s="530"/>
      <c r="AU73" s="530"/>
      <c r="AV73" s="530"/>
      <c r="AW73" s="530"/>
      <c r="AX73" s="530"/>
      <c r="AY73" s="530"/>
      <c r="AZ73" s="530"/>
      <c r="BA73" s="530"/>
      <c r="BB73" s="530"/>
      <c r="BC73" s="530"/>
      <c r="BD73" s="530"/>
      <c r="BE73" s="530"/>
      <c r="BF73" s="530"/>
      <c r="BG73" s="530"/>
      <c r="BH73" s="530"/>
      <c r="BI73" s="530"/>
      <c r="BJ73" s="530"/>
      <c r="BK73" s="530"/>
      <c r="BL73" s="530"/>
      <c r="BM73" s="530"/>
      <c r="BN73" s="530"/>
      <c r="BO73" s="530"/>
      <c r="BP73" s="530"/>
      <c r="BQ73" s="530"/>
      <c r="BR73" s="530"/>
      <c r="BS73" s="530"/>
    </row>
    <row r="74" spans="2:71">
      <c r="B74" t="str">
        <f t="shared" si="14"/>
        <v>Plate Milk Pre-CoolerMontana TieStall</v>
      </c>
      <c r="C74" t="str">
        <f t="shared" ref="C74:C75" si="34">C39</f>
        <v>Plate Milk Pre-Cooler</v>
      </c>
      <c r="D74" t="str">
        <f t="shared" si="28"/>
        <v>Montana TieStall</v>
      </c>
      <c r="E74" s="538">
        <f t="shared" ref="E74:X74" si="35">E39*E$61*$AA$25</f>
        <v>278.89014627267096</v>
      </c>
      <c r="F74" s="538">
        <f t="shared" si="35"/>
        <v>342.43262170525213</v>
      </c>
      <c r="G74" s="538">
        <f t="shared" si="35"/>
        <v>419.03731865549992</v>
      </c>
      <c r="H74" s="538">
        <f t="shared" si="35"/>
        <v>486.43630163837963</v>
      </c>
      <c r="I74" s="538">
        <f t="shared" si="35"/>
        <v>554.84220087649169</v>
      </c>
      <c r="J74" s="538">
        <f t="shared" si="35"/>
        <v>648.67722645456001</v>
      </c>
      <c r="K74" s="538">
        <f t="shared" si="35"/>
        <v>711.60899105880856</v>
      </c>
      <c r="L74" s="538">
        <f t="shared" si="35"/>
        <v>726.95885025387361</v>
      </c>
      <c r="M74" s="538">
        <f t="shared" si="35"/>
        <v>685.07147337736853</v>
      </c>
      <c r="N74" s="538">
        <f t="shared" si="35"/>
        <v>588.87695893325588</v>
      </c>
      <c r="O74" s="538">
        <f t="shared" si="35"/>
        <v>455.69785336214596</v>
      </c>
      <c r="P74" s="538">
        <f t="shared" si="35"/>
        <v>312.73547875263603</v>
      </c>
      <c r="Q74" s="538">
        <f t="shared" si="35"/>
        <v>187.14329563402191</v>
      </c>
      <c r="R74" s="538">
        <f t="shared" si="35"/>
        <v>95.821238114108553</v>
      </c>
      <c r="S74" s="538">
        <f t="shared" si="35"/>
        <v>41.110576211136163</v>
      </c>
      <c r="T74" s="538">
        <f t="shared" si="35"/>
        <v>14.442992445493154</v>
      </c>
      <c r="U74" s="538">
        <f t="shared" si="35"/>
        <v>4.0517550873251267</v>
      </c>
      <c r="V74" s="538">
        <f t="shared" si="35"/>
        <v>0.88309863633165753</v>
      </c>
      <c r="W74" s="538">
        <f t="shared" si="35"/>
        <v>0.14515672142484767</v>
      </c>
      <c r="X74" s="538">
        <f t="shared" si="35"/>
        <v>1.7423748641803322E-2</v>
      </c>
      <c r="Y74" s="538"/>
      <c r="AA74" s="538">
        <f t="shared" ref="AA74:AA75" si="36">SUM(E74:X74)</f>
        <v>6554.8809579394265</v>
      </c>
      <c r="AC74" s="530"/>
      <c r="AD74" s="530"/>
      <c r="AE74" s="530"/>
      <c r="AF74" s="530"/>
      <c r="AG74" s="530"/>
      <c r="AH74" s="530"/>
      <c r="AI74" s="530"/>
      <c r="AJ74" s="530"/>
      <c r="AK74" s="530"/>
      <c r="AL74" s="530"/>
      <c r="AM74" s="530"/>
      <c r="AN74" s="530"/>
      <c r="AO74" s="530"/>
      <c r="AP74" s="530"/>
      <c r="AQ74" s="530"/>
      <c r="AR74" s="530"/>
      <c r="AS74" s="530"/>
      <c r="AT74" s="530"/>
      <c r="AU74" s="530"/>
      <c r="AV74" s="530"/>
      <c r="AW74" s="530"/>
      <c r="AX74" s="530"/>
      <c r="AY74" s="530"/>
      <c r="AZ74" s="530"/>
      <c r="BA74" s="530"/>
      <c r="BB74" s="530"/>
      <c r="BC74" s="530"/>
      <c r="BD74" s="530"/>
      <c r="BE74" s="530"/>
      <c r="BF74" s="530"/>
      <c r="BG74" s="530"/>
      <c r="BH74" s="530"/>
      <c r="BI74" s="530"/>
      <c r="BJ74" s="530"/>
      <c r="BK74" s="530"/>
      <c r="BL74" s="530"/>
      <c r="BM74" s="530"/>
      <c r="BN74" s="530"/>
      <c r="BO74" s="530"/>
      <c r="BP74" s="530"/>
      <c r="BQ74" s="530"/>
      <c r="BR74" s="530"/>
      <c r="BS74" s="530"/>
    </row>
    <row r="75" spans="2:71">
      <c r="B75" t="str">
        <f t="shared" si="14"/>
        <v>Energy Efficient LightingMontana TieStall</v>
      </c>
      <c r="C75" t="str">
        <f t="shared" si="34"/>
        <v>Energy Efficient Lighting</v>
      </c>
      <c r="D75" t="str">
        <f t="shared" si="28"/>
        <v>Montana TieStall</v>
      </c>
      <c r="E75" s="538">
        <f t="shared" ref="E75:X75" si="37">E40*E$61*$AA$25</f>
        <v>37.141508451491205</v>
      </c>
      <c r="F75" s="538">
        <f t="shared" si="37"/>
        <v>45.603848981803282</v>
      </c>
      <c r="G75" s="538">
        <f t="shared" si="37"/>
        <v>55.80576553291651</v>
      </c>
      <c r="H75" s="538">
        <f t="shared" si="37"/>
        <v>64.781700787484667</v>
      </c>
      <c r="I75" s="538">
        <f t="shared" si="37"/>
        <v>73.891733245211427</v>
      </c>
      <c r="J75" s="538">
        <f t="shared" si="37"/>
        <v>86.388318162723209</v>
      </c>
      <c r="K75" s="538">
        <f t="shared" si="37"/>
        <v>94.76932659258253</v>
      </c>
      <c r="L75" s="538">
        <f t="shared" si="37"/>
        <v>96.813561330317967</v>
      </c>
      <c r="M75" s="538">
        <f t="shared" si="37"/>
        <v>91.235162871060666</v>
      </c>
      <c r="N75" s="538">
        <f t="shared" si="37"/>
        <v>78.424350373870581</v>
      </c>
      <c r="O75" s="538">
        <f t="shared" si="37"/>
        <v>60.688073415934419</v>
      </c>
      <c r="P75" s="538">
        <f t="shared" si="37"/>
        <v>41.648898616216201</v>
      </c>
      <c r="Q75" s="538">
        <f t="shared" si="37"/>
        <v>24.923018576766633</v>
      </c>
      <c r="R75" s="538">
        <f t="shared" si="37"/>
        <v>12.761101002714998</v>
      </c>
      <c r="S75" s="538">
        <f t="shared" si="37"/>
        <v>5.4749471582216751</v>
      </c>
      <c r="T75" s="538">
        <f t="shared" si="37"/>
        <v>1.9234617398588028</v>
      </c>
      <c r="U75" s="538">
        <f t="shared" si="37"/>
        <v>0.53959703428218742</v>
      </c>
      <c r="V75" s="538">
        <f t="shared" si="37"/>
        <v>0.11760765270187937</v>
      </c>
      <c r="W75" s="538">
        <f t="shared" si="37"/>
        <v>1.9331409401322556E-2</v>
      </c>
      <c r="X75" s="538">
        <f t="shared" si="37"/>
        <v>2.3204272939908151E-3</v>
      </c>
      <c r="Y75" s="538"/>
      <c r="AA75" s="538">
        <f t="shared" si="36"/>
        <v>872.95363336285402</v>
      </c>
      <c r="AC75" s="530"/>
      <c r="AD75" s="530"/>
      <c r="AE75" s="530"/>
      <c r="AF75" s="530"/>
      <c r="AG75" s="530"/>
      <c r="AH75" s="530"/>
      <c r="AI75" s="530"/>
      <c r="AJ75" s="530"/>
      <c r="AK75" s="530"/>
      <c r="AL75" s="530"/>
      <c r="AM75" s="530"/>
      <c r="AN75" s="530"/>
      <c r="AO75" s="530"/>
      <c r="AP75" s="530"/>
      <c r="AQ75" s="530"/>
      <c r="AR75" s="530"/>
      <c r="AS75" s="530"/>
      <c r="AT75" s="530"/>
      <c r="AU75" s="530"/>
      <c r="AV75" s="530"/>
      <c r="AW75" s="530"/>
      <c r="AX75" s="530"/>
      <c r="AY75" s="530"/>
      <c r="AZ75" s="530"/>
      <c r="BA75" s="530"/>
      <c r="BB75" s="530"/>
      <c r="BC75" s="530"/>
      <c r="BD75" s="530"/>
      <c r="BE75" s="530"/>
      <c r="BF75" s="530"/>
      <c r="BG75" s="530"/>
      <c r="BH75" s="530"/>
      <c r="BI75" s="530"/>
      <c r="BJ75" s="530"/>
      <c r="BK75" s="530"/>
      <c r="BL75" s="530"/>
      <c r="BM75" s="530"/>
      <c r="BN75" s="530"/>
      <c r="BO75" s="530"/>
      <c r="BP75" s="530"/>
      <c r="BQ75" s="530"/>
      <c r="BR75" s="530"/>
      <c r="BS75" s="530"/>
    </row>
    <row r="76" spans="2:71">
      <c r="B76" t="str">
        <f t="shared" si="14"/>
        <v>VSD - Vacuum PumpOregon FreeStall</v>
      </c>
      <c r="C76" t="str">
        <f>C41</f>
        <v>VSD - Vacuum Pump</v>
      </c>
      <c r="D76" t="str">
        <f>CONCATENATE(D41," ",B41)</f>
        <v>Oregon FreeStall</v>
      </c>
      <c r="E76" s="538">
        <f t="shared" ref="E76:X76" ca="1" si="38">E41*E$61*$AA$25</f>
        <v>242.88631099028083</v>
      </c>
      <c r="F76" s="538">
        <f t="shared" ca="1" si="38"/>
        <v>302.39307100799914</v>
      </c>
      <c r="G76" s="538">
        <f t="shared" ca="1" si="38"/>
        <v>375.04871992294733</v>
      </c>
      <c r="H76" s="538">
        <f t="shared" ca="1" si="38"/>
        <v>440.89382867360473</v>
      </c>
      <c r="I76" s="538">
        <f t="shared" ca="1" si="38"/>
        <v>509.22575190520007</v>
      </c>
      <c r="J76" s="538">
        <f t="shared" ca="1" si="38"/>
        <v>602.98345602557333</v>
      </c>
      <c r="K76" s="538">
        <f t="shared" ca="1" si="38"/>
        <v>670.96354291273406</v>
      </c>
      <c r="L76" s="538">
        <f t="shared" ca="1" si="38"/>
        <v>695.93009293008174</v>
      </c>
      <c r="M76" s="538">
        <f t="shared" ca="1" si="38"/>
        <v>666.27451949036094</v>
      </c>
      <c r="N76" s="538">
        <f t="shared" ca="1" si="38"/>
        <v>582.13742187990044</v>
      </c>
      <c r="O76" s="538">
        <f t="shared" ca="1" si="38"/>
        <v>458.24934836698208</v>
      </c>
      <c r="P76" s="538">
        <f t="shared" ca="1" si="38"/>
        <v>319.60206489902515</v>
      </c>
      <c r="Q76" s="538">
        <f t="shared" ca="1" si="38"/>
        <v>194.30952864259311</v>
      </c>
      <c r="R76" s="538">
        <f t="shared" ca="1" si="38"/>
        <v>101.03291715807039</v>
      </c>
      <c r="S76" s="538">
        <f t="shared" ca="1" si="38"/>
        <v>44.094172832996257</v>
      </c>
      <c r="T76" s="538">
        <f t="shared" ca="1" si="38"/>
        <v>15.705779841188173</v>
      </c>
      <c r="U76" s="538">
        <f t="shared" ca="1" si="38"/>
        <v>4.4711972650681275</v>
      </c>
      <c r="V76" s="538">
        <f t="shared" ca="1" si="38"/>
        <v>0.99044171459157204</v>
      </c>
      <c r="W76" s="538">
        <f t="shared" ca="1" si="38"/>
        <v>0.16508498930587304</v>
      </c>
      <c r="X76" s="538">
        <f t="shared" ca="1" si="38"/>
        <v>2.0119127147399673E-2</v>
      </c>
      <c r="Y76" s="538"/>
      <c r="AA76" s="538">
        <f ca="1">SUM(E76:X76)</f>
        <v>6227.3773705756503</v>
      </c>
      <c r="AC76" s="530"/>
      <c r="AD76" s="530"/>
      <c r="AE76" s="530"/>
      <c r="AF76" s="530"/>
      <c r="AG76" s="530"/>
      <c r="AH76" s="530"/>
      <c r="AI76" s="530"/>
      <c r="AJ76" s="530"/>
      <c r="AK76" s="530"/>
      <c r="AL76" s="530"/>
      <c r="AM76" s="530"/>
      <c r="AN76" s="530"/>
      <c r="AO76" s="530"/>
      <c r="AP76" s="530"/>
      <c r="AQ76" s="530"/>
      <c r="AR76" s="530"/>
      <c r="AS76" s="530"/>
      <c r="AT76" s="530"/>
      <c r="AU76" s="530"/>
      <c r="AV76" s="530"/>
      <c r="AW76" s="530"/>
      <c r="AX76" s="530"/>
      <c r="AY76" s="530"/>
      <c r="AZ76" s="530"/>
      <c r="BA76" s="530"/>
      <c r="BB76" s="530"/>
      <c r="BC76" s="530"/>
      <c r="BD76" s="530"/>
      <c r="BE76" s="530"/>
      <c r="BF76" s="530"/>
      <c r="BG76" s="530"/>
      <c r="BH76" s="530"/>
      <c r="BI76" s="530"/>
      <c r="BJ76" s="530"/>
      <c r="BK76" s="530"/>
      <c r="BL76" s="530"/>
      <c r="BM76" s="530"/>
      <c r="BN76" s="530"/>
      <c r="BO76" s="530"/>
      <c r="BP76" s="530"/>
      <c r="BQ76" s="530"/>
      <c r="BR76" s="530"/>
      <c r="BS76" s="530"/>
    </row>
    <row r="77" spans="2:71">
      <c r="B77" t="str">
        <f t="shared" si="14"/>
        <v>Plate Milk Pre-coolerOregon FreeStall</v>
      </c>
      <c r="C77" t="str">
        <f t="shared" ref="C77:C79" si="39">C42</f>
        <v>Plate Milk Pre-cooler</v>
      </c>
      <c r="D77" t="str">
        <f t="shared" ref="D77:D82" si="40">CONCATENATE(D42," ",B42)</f>
        <v>Oregon FreeStall</v>
      </c>
      <c r="E77" s="538">
        <f t="shared" ref="E77:X77" ca="1" si="41">E42*E$61*$AA$25</f>
        <v>4614.8399088153355</v>
      </c>
      <c r="F77" s="538">
        <f t="shared" ca="1" si="41"/>
        <v>5745.4683491519836</v>
      </c>
      <c r="G77" s="538">
        <f t="shared" ca="1" si="41"/>
        <v>7125.9256785359994</v>
      </c>
      <c r="H77" s="538">
        <f t="shared" ca="1" si="41"/>
        <v>8376.9827447984899</v>
      </c>
      <c r="I77" s="538">
        <f t="shared" ca="1" si="41"/>
        <v>9675.2892861987984</v>
      </c>
      <c r="J77" s="538">
        <f t="shared" ca="1" si="41"/>
        <v>11456.685664485893</v>
      </c>
      <c r="K77" s="538">
        <f t="shared" ca="1" si="41"/>
        <v>12748.307315341946</v>
      </c>
      <c r="L77" s="538">
        <f t="shared" ca="1" si="41"/>
        <v>13222.671765671554</v>
      </c>
      <c r="M77" s="538">
        <f t="shared" ca="1" si="41"/>
        <v>12659.215870316857</v>
      </c>
      <c r="N77" s="538">
        <f t="shared" ca="1" si="41"/>
        <v>11060.61101571811</v>
      </c>
      <c r="O77" s="538">
        <f t="shared" ca="1" si="41"/>
        <v>8706.7376189726583</v>
      </c>
      <c r="P77" s="538">
        <f t="shared" ca="1" si="41"/>
        <v>6072.4392330814781</v>
      </c>
      <c r="Q77" s="538">
        <f t="shared" ca="1" si="41"/>
        <v>3691.8810442092686</v>
      </c>
      <c r="R77" s="538">
        <f t="shared" ca="1" si="41"/>
        <v>1919.6254260033377</v>
      </c>
      <c r="S77" s="538">
        <f t="shared" ca="1" si="41"/>
        <v>837.78928382692891</v>
      </c>
      <c r="T77" s="538">
        <f t="shared" ca="1" si="41"/>
        <v>298.40981698257531</v>
      </c>
      <c r="U77" s="538">
        <f t="shared" ca="1" si="41"/>
        <v>84.952748036294423</v>
      </c>
      <c r="V77" s="538">
        <f t="shared" ca="1" si="41"/>
        <v>18.818392577239873</v>
      </c>
      <c r="W77" s="538">
        <f t="shared" ca="1" si="41"/>
        <v>3.1366147968115876</v>
      </c>
      <c r="X77" s="538">
        <f t="shared" ca="1" si="41"/>
        <v>0.38226341580059375</v>
      </c>
      <c r="Y77" s="538"/>
      <c r="AA77" s="538">
        <f t="shared" ref="AA77:AA79" ca="1" si="42">SUM(E77:X77)</f>
        <v>118320.17004093734</v>
      </c>
      <c r="AC77" s="530"/>
      <c r="AD77" s="530"/>
      <c r="AE77" s="530"/>
      <c r="AF77" s="530"/>
      <c r="AG77" s="530"/>
      <c r="AH77" s="530"/>
      <c r="AI77" s="530"/>
      <c r="AJ77" s="530"/>
      <c r="AK77" s="530"/>
      <c r="AL77" s="530"/>
      <c r="AM77" s="530"/>
      <c r="AN77" s="530"/>
      <c r="AO77" s="530"/>
      <c r="AP77" s="530"/>
      <c r="AQ77" s="530"/>
      <c r="AR77" s="530"/>
      <c r="AS77" s="530"/>
      <c r="AT77" s="530"/>
      <c r="AU77" s="530"/>
      <c r="AV77" s="530"/>
      <c r="AW77" s="530"/>
      <c r="AX77" s="530"/>
      <c r="AY77" s="530"/>
      <c r="AZ77" s="530"/>
      <c r="BA77" s="530"/>
      <c r="BB77" s="530"/>
      <c r="BC77" s="530"/>
      <c r="BD77" s="530"/>
      <c r="BE77" s="530"/>
      <c r="BF77" s="530"/>
      <c r="BG77" s="530"/>
      <c r="BH77" s="530"/>
      <c r="BI77" s="530"/>
      <c r="BJ77" s="530"/>
      <c r="BK77" s="530"/>
      <c r="BL77" s="530"/>
      <c r="BM77" s="530"/>
      <c r="BN77" s="530"/>
      <c r="BO77" s="530"/>
      <c r="BP77" s="530"/>
      <c r="BQ77" s="530"/>
      <c r="BR77" s="530"/>
      <c r="BS77" s="530"/>
    </row>
    <row r="78" spans="2:71">
      <c r="B78" t="str">
        <f t="shared" si="14"/>
        <v>Energy Efficient LightingOregon FreeStall</v>
      </c>
      <c r="C78" t="str">
        <f t="shared" si="39"/>
        <v>Energy Efficient Lighting</v>
      </c>
      <c r="D78" t="str">
        <f t="shared" si="40"/>
        <v>Oregon FreeStall</v>
      </c>
      <c r="E78" s="538">
        <f t="shared" ref="E78:X78" ca="1" si="43">E43*E$61*$AA$25</f>
        <v>21953.276623466605</v>
      </c>
      <c r="F78" s="538">
        <f t="shared" ca="1" si="43"/>
        <v>27331.794491801666</v>
      </c>
      <c r="G78" s="538">
        <f t="shared" ca="1" si="43"/>
        <v>33898.774542608873</v>
      </c>
      <c r="H78" s="538">
        <f t="shared" ca="1" si="43"/>
        <v>39850.183993441475</v>
      </c>
      <c r="I78" s="538">
        <f t="shared" ca="1" si="43"/>
        <v>46026.364144560488</v>
      </c>
      <c r="J78" s="538">
        <f t="shared" ca="1" si="43"/>
        <v>54500.653229621596</v>
      </c>
      <c r="K78" s="538">
        <f t="shared" ca="1" si="43"/>
        <v>60645.032656508469</v>
      </c>
      <c r="L78" s="538">
        <f t="shared" ca="1" si="43"/>
        <v>62901.634013043484</v>
      </c>
      <c r="M78" s="538">
        <f t="shared" ca="1" si="43"/>
        <v>60221.215324582394</v>
      </c>
      <c r="N78" s="538">
        <f t="shared" ca="1" si="43"/>
        <v>52616.484656117667</v>
      </c>
      <c r="O78" s="538">
        <f t="shared" ca="1" si="43"/>
        <v>41418.862455472954</v>
      </c>
      <c r="P78" s="538">
        <f t="shared" ca="1" si="43"/>
        <v>28887.229220753346</v>
      </c>
      <c r="Q78" s="538">
        <f t="shared" ca="1" si="43"/>
        <v>17562.664670043709</v>
      </c>
      <c r="R78" s="538">
        <f t="shared" ca="1" si="43"/>
        <v>9131.859137733205</v>
      </c>
      <c r="S78" s="538">
        <f t="shared" ca="1" si="43"/>
        <v>3985.4513403369538</v>
      </c>
      <c r="T78" s="538">
        <f t="shared" ca="1" si="43"/>
        <v>1419.5667431198558</v>
      </c>
      <c r="U78" s="538">
        <f t="shared" ca="1" si="43"/>
        <v>404.12911702568431</v>
      </c>
      <c r="V78" s="538">
        <f t="shared" ca="1" si="43"/>
        <v>89.521063789879094</v>
      </c>
      <c r="W78" s="538">
        <f t="shared" ca="1" si="43"/>
        <v>14.921204994376478</v>
      </c>
      <c r="X78" s="538">
        <f t="shared" ca="1" si="43"/>
        <v>1.818467092232446</v>
      </c>
      <c r="Y78" s="538"/>
      <c r="AA78" s="538">
        <f t="shared" ca="1" si="42"/>
        <v>562861.43709611497</v>
      </c>
      <c r="AC78" s="530"/>
      <c r="AD78" s="530"/>
      <c r="AE78" s="530"/>
      <c r="AF78" s="530"/>
      <c r="AG78" s="530"/>
      <c r="AH78" s="530"/>
      <c r="AI78" s="530"/>
      <c r="AJ78" s="530"/>
      <c r="AK78" s="530"/>
      <c r="AL78" s="530"/>
      <c r="AM78" s="530"/>
      <c r="AN78" s="530"/>
      <c r="AO78" s="530"/>
      <c r="AP78" s="530"/>
      <c r="AQ78" s="530"/>
      <c r="AR78" s="530"/>
      <c r="AS78" s="530"/>
      <c r="AT78" s="530"/>
      <c r="AU78" s="530"/>
      <c r="AV78" s="530"/>
      <c r="AW78" s="530"/>
      <c r="AX78" s="530"/>
      <c r="AY78" s="530"/>
      <c r="AZ78" s="530"/>
      <c r="BA78" s="530"/>
      <c r="BB78" s="530"/>
      <c r="BC78" s="530"/>
      <c r="BD78" s="530"/>
      <c r="BE78" s="530"/>
      <c r="BF78" s="530"/>
      <c r="BG78" s="530"/>
      <c r="BH78" s="530"/>
      <c r="BI78" s="530"/>
      <c r="BJ78" s="530"/>
      <c r="BK78" s="530"/>
      <c r="BL78" s="530"/>
      <c r="BM78" s="530"/>
      <c r="BN78" s="530"/>
      <c r="BO78" s="530"/>
      <c r="BP78" s="530"/>
      <c r="BQ78" s="530"/>
      <c r="BR78" s="530"/>
      <c r="BS78" s="530"/>
    </row>
    <row r="79" spans="2:71">
      <c r="B79" t="str">
        <f t="shared" si="14"/>
        <v>VSD - Vacuum PumpOregon TieStall</v>
      </c>
      <c r="C79" t="str">
        <f t="shared" si="39"/>
        <v>VSD - Vacuum Pump</v>
      </c>
      <c r="D79" t="str">
        <f t="shared" si="40"/>
        <v>Oregon TieStall</v>
      </c>
      <c r="E79" s="538">
        <f t="shared" ref="E79:X79" si="44">E44*E$61*$AA$25</f>
        <v>504.57985649357624</v>
      </c>
      <c r="F79" s="538">
        <f t="shared" si="44"/>
        <v>619.54359244311081</v>
      </c>
      <c r="G79" s="538">
        <f t="shared" si="44"/>
        <v>758.1400524130471</v>
      </c>
      <c r="H79" s="538">
        <f t="shared" si="44"/>
        <v>880.08114504693549</v>
      </c>
      <c r="I79" s="538">
        <f t="shared" si="44"/>
        <v>1003.8439931869127</v>
      </c>
      <c r="J79" s="538">
        <f t="shared" si="44"/>
        <v>1173.6142929735581</v>
      </c>
      <c r="K79" s="538">
        <f t="shared" si="44"/>
        <v>1287.4731050445062</v>
      </c>
      <c r="L79" s="538">
        <f t="shared" si="44"/>
        <v>1315.244719973741</v>
      </c>
      <c r="M79" s="538">
        <f t="shared" si="44"/>
        <v>1239.4603048708314</v>
      </c>
      <c r="N79" s="538">
        <f t="shared" si="44"/>
        <v>1065.4211179637966</v>
      </c>
      <c r="O79" s="538">
        <f t="shared" si="44"/>
        <v>824.46784343930869</v>
      </c>
      <c r="P79" s="538">
        <f t="shared" si="44"/>
        <v>565.81426449959213</v>
      </c>
      <c r="Q79" s="538">
        <f t="shared" si="44"/>
        <v>338.58757118807171</v>
      </c>
      <c r="R79" s="538">
        <f t="shared" si="44"/>
        <v>173.36383957209594</v>
      </c>
      <c r="S79" s="538">
        <f t="shared" si="44"/>
        <v>74.378994461505016</v>
      </c>
      <c r="T79" s="538">
        <f t="shared" si="44"/>
        <v>26.130873223321462</v>
      </c>
      <c r="U79" s="538">
        <f t="shared" si="44"/>
        <v>7.3306067920764288</v>
      </c>
      <c r="V79" s="538">
        <f t="shared" si="44"/>
        <v>1.5977394294678435</v>
      </c>
      <c r="W79" s="538">
        <f t="shared" si="44"/>
        <v>0.26262368407242981</v>
      </c>
      <c r="X79" s="538">
        <f t="shared" si="44"/>
        <v>3.1523783492392175E-2</v>
      </c>
      <c r="Y79" s="538"/>
      <c r="AA79" s="538">
        <f t="shared" si="42"/>
        <v>11859.368060483021</v>
      </c>
      <c r="AC79" s="530"/>
      <c r="AD79" s="530"/>
      <c r="AE79" s="530"/>
      <c r="AF79" s="530"/>
      <c r="AG79" s="530"/>
      <c r="AH79" s="530"/>
      <c r="AI79" s="530"/>
      <c r="AJ79" s="530"/>
      <c r="AK79" s="530"/>
      <c r="AL79" s="530"/>
      <c r="AM79" s="530"/>
      <c r="AN79" s="530"/>
      <c r="AO79" s="530"/>
      <c r="AP79" s="530"/>
      <c r="AQ79" s="530"/>
      <c r="AR79" s="530"/>
      <c r="AS79" s="530"/>
      <c r="AT79" s="530"/>
      <c r="AU79" s="530"/>
      <c r="AV79" s="530"/>
      <c r="AW79" s="530"/>
      <c r="AX79" s="530"/>
      <c r="AY79" s="530"/>
      <c r="AZ79" s="530"/>
      <c r="BA79" s="530"/>
      <c r="BB79" s="530"/>
      <c r="BC79" s="530"/>
      <c r="BD79" s="530"/>
      <c r="BE79" s="530"/>
      <c r="BF79" s="530"/>
      <c r="BG79" s="530"/>
      <c r="BH79" s="530"/>
      <c r="BI79" s="530"/>
      <c r="BJ79" s="530"/>
      <c r="BK79" s="530"/>
      <c r="BL79" s="530"/>
      <c r="BM79" s="530"/>
      <c r="BN79" s="530"/>
      <c r="BO79" s="530"/>
      <c r="BP79" s="530"/>
      <c r="BQ79" s="530"/>
      <c r="BR79" s="530"/>
      <c r="BS79" s="530"/>
    </row>
    <row r="80" spans="2:71">
      <c r="B80" t="str">
        <f t="shared" si="14"/>
        <v>Heat Recovery RefrigerationOregon TieStall</v>
      </c>
      <c r="C80" t="str">
        <f>C45</f>
        <v>Heat Recovery Refrigeration</v>
      </c>
      <c r="D80" t="str">
        <f t="shared" si="40"/>
        <v>Oregon TieStall</v>
      </c>
      <c r="E80" s="538">
        <f t="shared" ref="E80:X80" si="45">E45*E$61*$AA$25</f>
        <v>2646.6819561029238</v>
      </c>
      <c r="F80" s="538">
        <f t="shared" si="45"/>
        <v>3249.7033443491027</v>
      </c>
      <c r="G80" s="538">
        <f t="shared" si="45"/>
        <v>3976.6858924263888</v>
      </c>
      <c r="H80" s="538">
        <f t="shared" si="45"/>
        <v>4616.3057373888205</v>
      </c>
      <c r="I80" s="538">
        <f t="shared" si="45"/>
        <v>5265.4812698491696</v>
      </c>
      <c r="J80" s="538">
        <f t="shared" si="45"/>
        <v>6155.9805304616848</v>
      </c>
      <c r="K80" s="538">
        <f t="shared" si="45"/>
        <v>6753.2062412651603</v>
      </c>
      <c r="L80" s="538">
        <f t="shared" si="45"/>
        <v>6898.8772013304879</v>
      </c>
      <c r="M80" s="538">
        <f t="shared" si="45"/>
        <v>6501.3638217823327</v>
      </c>
      <c r="N80" s="538">
        <f t="shared" si="45"/>
        <v>5588.4728894279269</v>
      </c>
      <c r="O80" s="538">
        <f t="shared" si="45"/>
        <v>4324.5962686298562</v>
      </c>
      <c r="P80" s="538">
        <f t="shared" si="45"/>
        <v>2967.8759171310317</v>
      </c>
      <c r="Q80" s="538">
        <f t="shared" si="45"/>
        <v>1775.9995839936821</v>
      </c>
      <c r="R80" s="538">
        <f t="shared" si="45"/>
        <v>909.34852061822187</v>
      </c>
      <c r="S80" s="538">
        <f t="shared" si="45"/>
        <v>390.14150093574091</v>
      </c>
      <c r="T80" s="538">
        <f t="shared" si="45"/>
        <v>137.06474756639122</v>
      </c>
      <c r="U80" s="538">
        <f t="shared" si="45"/>
        <v>38.451365971485664</v>
      </c>
      <c r="V80" s="538">
        <f t="shared" si="45"/>
        <v>8.3806518712673892</v>
      </c>
      <c r="W80" s="538">
        <f t="shared" si="45"/>
        <v>1.3775448166124395</v>
      </c>
      <c r="X80" s="538">
        <f t="shared" si="45"/>
        <v>0.1653522785019694</v>
      </c>
      <c r="Y80" s="538"/>
      <c r="AA80" s="538">
        <f>SUM(E80:X80)</f>
        <v>62206.160338196794</v>
      </c>
      <c r="AC80" s="530"/>
      <c r="AD80" s="530"/>
      <c r="AE80" s="530"/>
      <c r="AF80" s="530"/>
      <c r="AG80" s="530"/>
      <c r="AH80" s="530"/>
      <c r="AI80" s="530"/>
      <c r="AJ80" s="530"/>
      <c r="AK80" s="530"/>
      <c r="AL80" s="530"/>
      <c r="AM80" s="530"/>
      <c r="AN80" s="530"/>
      <c r="AO80" s="530"/>
      <c r="AP80" s="530"/>
      <c r="AQ80" s="530"/>
      <c r="AR80" s="530"/>
      <c r="AS80" s="530"/>
      <c r="AT80" s="530"/>
      <c r="AU80" s="530"/>
      <c r="AV80" s="530"/>
      <c r="AW80" s="530"/>
      <c r="AX80" s="530"/>
      <c r="AY80" s="530"/>
      <c r="AZ80" s="530"/>
      <c r="BA80" s="530"/>
      <c r="BB80" s="530"/>
      <c r="BC80" s="530"/>
      <c r="BD80" s="530"/>
      <c r="BE80" s="530"/>
      <c r="BF80" s="530"/>
      <c r="BG80" s="530"/>
      <c r="BH80" s="530"/>
      <c r="BI80" s="530"/>
      <c r="BJ80" s="530"/>
      <c r="BK80" s="530"/>
      <c r="BL80" s="530"/>
      <c r="BM80" s="530"/>
      <c r="BN80" s="530"/>
      <c r="BO80" s="530"/>
      <c r="BP80" s="530"/>
      <c r="BQ80" s="530"/>
      <c r="BR80" s="530"/>
      <c r="BS80" s="530"/>
    </row>
    <row r="81" spans="2:71">
      <c r="B81" t="str">
        <f t="shared" si="14"/>
        <v>Plate Milk Pre-CoolerOregon TieStall</v>
      </c>
      <c r="C81" t="str">
        <f t="shared" ref="C81:C82" si="46">C46</f>
        <v>Plate Milk Pre-Cooler</v>
      </c>
      <c r="D81" t="str">
        <f t="shared" si="40"/>
        <v>Oregon TieStall</v>
      </c>
      <c r="E81" s="538">
        <f t="shared" ref="E81:X81" si="47">E46*E$61*$AA$25</f>
        <v>1697.694937780567</v>
      </c>
      <c r="F81" s="538">
        <f t="shared" si="47"/>
        <v>2084.4986320583453</v>
      </c>
      <c r="G81" s="538">
        <f t="shared" si="47"/>
        <v>2550.8163129114323</v>
      </c>
      <c r="H81" s="538">
        <f t="shared" si="47"/>
        <v>2961.0958217102916</v>
      </c>
      <c r="I81" s="538">
        <f t="shared" si="47"/>
        <v>3377.5047569235412</v>
      </c>
      <c r="J81" s="538">
        <f t="shared" si="47"/>
        <v>3948.7090466392697</v>
      </c>
      <c r="K81" s="538">
        <f t="shared" si="47"/>
        <v>4331.7951456718774</v>
      </c>
      <c r="L81" s="538">
        <f t="shared" si="47"/>
        <v>4425.2347260922925</v>
      </c>
      <c r="M81" s="538">
        <f t="shared" si="47"/>
        <v>4170.2526529335546</v>
      </c>
      <c r="N81" s="538">
        <f t="shared" si="47"/>
        <v>3584.6853878414322</v>
      </c>
      <c r="O81" s="538">
        <f t="shared" si="47"/>
        <v>2773.980899468575</v>
      </c>
      <c r="P81" s="538">
        <f t="shared" si="47"/>
        <v>1903.7224736640296</v>
      </c>
      <c r="Q81" s="538">
        <f t="shared" si="47"/>
        <v>1139.2020474141234</v>
      </c>
      <c r="R81" s="538">
        <f t="shared" si="47"/>
        <v>583.2950107858627</v>
      </c>
      <c r="S81" s="538">
        <f t="shared" si="47"/>
        <v>250.25343510936102</v>
      </c>
      <c r="T81" s="538">
        <f t="shared" si="47"/>
        <v>87.91918785521986</v>
      </c>
      <c r="U81" s="538">
        <f t="shared" si="47"/>
        <v>24.664349719094325</v>
      </c>
      <c r="V81" s="538">
        <f t="shared" si="47"/>
        <v>5.3757083371291916</v>
      </c>
      <c r="W81" s="538">
        <f t="shared" si="47"/>
        <v>0.88361612786007637</v>
      </c>
      <c r="X81" s="538">
        <f t="shared" si="47"/>
        <v>0.10606401933408557</v>
      </c>
      <c r="Y81" s="538"/>
      <c r="AA81" s="538">
        <f t="shared" ref="AA81:AA82" si="48">SUM(E81:X81)</f>
        <v>39901.690213063193</v>
      </c>
      <c r="AC81" s="530"/>
      <c r="AD81" s="530"/>
      <c r="AE81" s="530"/>
      <c r="AF81" s="530"/>
      <c r="AG81" s="530"/>
      <c r="AH81" s="530"/>
      <c r="AI81" s="530"/>
      <c r="AJ81" s="530"/>
      <c r="AK81" s="530"/>
      <c r="AL81" s="530"/>
      <c r="AM81" s="530"/>
      <c r="AN81" s="530"/>
      <c r="AO81" s="530"/>
      <c r="AP81" s="530"/>
      <c r="AQ81" s="530"/>
      <c r="AR81" s="530"/>
      <c r="AS81" s="530"/>
      <c r="AT81" s="530"/>
      <c r="AU81" s="530"/>
      <c r="AV81" s="530"/>
      <c r="AW81" s="530"/>
      <c r="AX81" s="530"/>
      <c r="AY81" s="530"/>
      <c r="AZ81" s="530"/>
      <c r="BA81" s="530"/>
      <c r="BB81" s="530"/>
      <c r="BC81" s="530"/>
      <c r="BD81" s="530"/>
      <c r="BE81" s="530"/>
      <c r="BF81" s="530"/>
      <c r="BG81" s="530"/>
      <c r="BH81" s="530"/>
      <c r="BI81" s="530"/>
      <c r="BJ81" s="530"/>
      <c r="BK81" s="530"/>
      <c r="BL81" s="530"/>
      <c r="BM81" s="530"/>
      <c r="BN81" s="530"/>
      <c r="BO81" s="530"/>
      <c r="BP81" s="530"/>
      <c r="BQ81" s="530"/>
      <c r="BR81" s="530"/>
      <c r="BS81" s="530"/>
    </row>
    <row r="82" spans="2:71">
      <c r="B82" t="str">
        <f t="shared" si="14"/>
        <v>Energy Efficient LightingOregon TieStall</v>
      </c>
      <c r="C82" t="str">
        <f t="shared" si="46"/>
        <v>Energy Efficient Lighting</v>
      </c>
      <c r="D82" t="str">
        <f t="shared" si="40"/>
        <v>Oregon TieStall</v>
      </c>
      <c r="E82" s="538">
        <f t="shared" ref="E82:X82" si="49">E47*E$61*$AA$25</f>
        <v>226.09243002075064</v>
      </c>
      <c r="F82" s="538">
        <f t="shared" si="49"/>
        <v>277.6054464255684</v>
      </c>
      <c r="G82" s="538">
        <f t="shared" si="49"/>
        <v>339.70782729474115</v>
      </c>
      <c r="H82" s="538">
        <f t="shared" si="49"/>
        <v>394.34726166409996</v>
      </c>
      <c r="I82" s="538">
        <f t="shared" si="49"/>
        <v>449.80298928015634</v>
      </c>
      <c r="J82" s="538">
        <f t="shared" si="49"/>
        <v>525.87376208280125</v>
      </c>
      <c r="K82" s="538">
        <f t="shared" si="49"/>
        <v>576.89168356561083</v>
      </c>
      <c r="L82" s="538">
        <f t="shared" si="49"/>
        <v>589.33560463012759</v>
      </c>
      <c r="M82" s="538">
        <f t="shared" si="49"/>
        <v>555.37808066675029</v>
      </c>
      <c r="N82" s="538">
        <f t="shared" si="49"/>
        <v>477.39450248729111</v>
      </c>
      <c r="O82" s="538">
        <f t="shared" si="49"/>
        <v>369.42802174571983</v>
      </c>
      <c r="P82" s="538">
        <f t="shared" si="49"/>
        <v>253.53037850163389</v>
      </c>
      <c r="Q82" s="538">
        <f t="shared" si="49"/>
        <v>151.71451210262413</v>
      </c>
      <c r="R82" s="538">
        <f t="shared" si="49"/>
        <v>77.680968160253428</v>
      </c>
      <c r="S82" s="538">
        <f t="shared" si="49"/>
        <v>33.327782280416322</v>
      </c>
      <c r="T82" s="538">
        <f t="shared" si="49"/>
        <v>11.708736584691875</v>
      </c>
      <c r="U82" s="538">
        <f t="shared" si="49"/>
        <v>3.2847024743808402</v>
      </c>
      <c r="V82" s="538">
        <f t="shared" si="49"/>
        <v>0.71591599525723693</v>
      </c>
      <c r="W82" s="538">
        <f t="shared" si="49"/>
        <v>0.11767657021737148</v>
      </c>
      <c r="X82" s="538">
        <f t="shared" si="49"/>
        <v>1.4125194895356881E-2</v>
      </c>
      <c r="Y82" s="538"/>
      <c r="AA82" s="538">
        <f t="shared" si="48"/>
        <v>5313.9524077279884</v>
      </c>
      <c r="AC82" s="530"/>
      <c r="AD82" s="530"/>
      <c r="AE82" s="530"/>
      <c r="AF82" s="530"/>
      <c r="AG82" s="530"/>
      <c r="AH82" s="530"/>
      <c r="AI82" s="530"/>
      <c r="AJ82" s="530"/>
      <c r="AK82" s="530"/>
      <c r="AL82" s="530"/>
      <c r="AM82" s="530"/>
      <c r="AN82" s="530"/>
      <c r="AO82" s="530"/>
      <c r="AP82" s="530"/>
      <c r="AQ82" s="530"/>
      <c r="AR82" s="530"/>
      <c r="AS82" s="530"/>
      <c r="AT82" s="530"/>
      <c r="AU82" s="530"/>
      <c r="AV82" s="530"/>
      <c r="AW82" s="530"/>
      <c r="AX82" s="530"/>
      <c r="AY82" s="530"/>
      <c r="AZ82" s="530"/>
      <c r="BA82" s="530"/>
      <c r="BB82" s="530"/>
      <c r="BC82" s="530"/>
      <c r="BD82" s="530"/>
      <c r="BE82" s="530"/>
      <c r="BF82" s="530"/>
      <c r="BG82" s="530"/>
      <c r="BH82" s="530"/>
      <c r="BI82" s="530"/>
      <c r="BJ82" s="530"/>
      <c r="BK82" s="530"/>
      <c r="BL82" s="530"/>
      <c r="BM82" s="530"/>
      <c r="BN82" s="530"/>
      <c r="BO82" s="530"/>
      <c r="BP82" s="530"/>
      <c r="BQ82" s="530"/>
      <c r="BR82" s="530"/>
      <c r="BS82" s="530"/>
    </row>
    <row r="83" spans="2:71">
      <c r="B83" t="str">
        <f t="shared" si="14"/>
        <v>VSD - Vacuum PumpWashington FreeStall</v>
      </c>
      <c r="C83" t="str">
        <f>C48</f>
        <v>VSD - Vacuum Pump</v>
      </c>
      <c r="D83" t="str">
        <f>CONCATENATE(D48," ",B48)</f>
        <v>Washington FreeStall</v>
      </c>
      <c r="E83" s="538">
        <f t="shared" ref="E83:X83" ca="1" si="50">E48*E$61*$AA$25</f>
        <v>576.58119897025188</v>
      </c>
      <c r="F83" s="538">
        <f t="shared" ca="1" si="50"/>
        <v>720.32115090553862</v>
      </c>
      <c r="G83" s="538">
        <f t="shared" ca="1" si="50"/>
        <v>897.99097529552751</v>
      </c>
      <c r="H83" s="538">
        <f t="shared" ca="1" si="50"/>
        <v>1058.7622851652156</v>
      </c>
      <c r="I83" s="538">
        <f t="shared" ca="1" si="50"/>
        <v>1227.3614584944992</v>
      </c>
      <c r="J83" s="538">
        <f t="shared" ca="1" si="50"/>
        <v>1454.4753563547179</v>
      </c>
      <c r="K83" s="538">
        <f t="shared" ca="1" si="50"/>
        <v>1622.5250401036496</v>
      </c>
      <c r="L83" s="538">
        <f t="shared" ca="1" si="50"/>
        <v>1678.4100915243534</v>
      </c>
      <c r="M83" s="538">
        <f t="shared" ca="1" si="50"/>
        <v>1605.5738647788969</v>
      </c>
      <c r="N83" s="538">
        <f t="shared" ca="1" si="50"/>
        <v>1403.5925563766179</v>
      </c>
      <c r="O83" s="538">
        <f t="shared" ca="1" si="50"/>
        <v>1106.0807392556128</v>
      </c>
      <c r="P83" s="538">
        <f t="shared" ca="1" si="50"/>
        <v>773.70773651042623</v>
      </c>
      <c r="Q83" s="538">
        <f t="shared" ca="1" si="50"/>
        <v>471.09987213395232</v>
      </c>
      <c r="R83" s="538">
        <f t="shared" ca="1" si="50"/>
        <v>245.46212891785055</v>
      </c>
      <c r="S83" s="538">
        <f t="shared" ca="1" si="50"/>
        <v>107.06541073330845</v>
      </c>
      <c r="T83" s="538">
        <f t="shared" ca="1" si="50"/>
        <v>38.353348657877774</v>
      </c>
      <c r="U83" s="538">
        <f t="shared" ca="1" si="50"/>
        <v>10.954965648889555</v>
      </c>
      <c r="V83" s="538">
        <f t="shared" ca="1" si="50"/>
        <v>2.4246404590847872</v>
      </c>
      <c r="W83" s="538">
        <f t="shared" ca="1" si="50"/>
        <v>0.40615541666605814</v>
      </c>
      <c r="X83" s="538">
        <f t="shared" ca="1" si="50"/>
        <v>4.9434332313064037E-2</v>
      </c>
      <c r="Y83" s="538"/>
      <c r="AA83" s="538">
        <f ca="1">SUM(E83:X83)</f>
        <v>15001.198410035249</v>
      </c>
      <c r="AC83" s="530"/>
      <c r="AD83" s="530"/>
      <c r="AE83" s="530"/>
      <c r="AF83" s="530"/>
      <c r="AG83" s="530"/>
      <c r="AH83" s="530"/>
      <c r="AI83" s="530"/>
      <c r="AJ83" s="530"/>
      <c r="AK83" s="530"/>
      <c r="AL83" s="530"/>
      <c r="AM83" s="530"/>
      <c r="AN83" s="530"/>
      <c r="AO83" s="530"/>
      <c r="AP83" s="530"/>
      <c r="AQ83" s="530"/>
      <c r="AR83" s="530"/>
      <c r="AS83" s="530"/>
      <c r="AT83" s="530"/>
      <c r="AU83" s="530"/>
      <c r="AV83" s="530"/>
      <c r="AW83" s="530"/>
      <c r="AX83" s="530"/>
      <c r="AY83" s="530"/>
      <c r="AZ83" s="530"/>
      <c r="BA83" s="530"/>
      <c r="BB83" s="530"/>
      <c r="BC83" s="530"/>
      <c r="BD83" s="530"/>
      <c r="BE83" s="530"/>
      <c r="BF83" s="530"/>
      <c r="BG83" s="530"/>
      <c r="BH83" s="530"/>
      <c r="BI83" s="530"/>
      <c r="BJ83" s="530"/>
      <c r="BK83" s="530"/>
      <c r="BL83" s="530"/>
      <c r="BM83" s="530"/>
      <c r="BN83" s="530"/>
      <c r="BO83" s="530"/>
      <c r="BP83" s="530"/>
      <c r="BQ83" s="530"/>
      <c r="BR83" s="530"/>
      <c r="BS83" s="530"/>
    </row>
    <row r="84" spans="2:71">
      <c r="B84" t="str">
        <f t="shared" si="14"/>
        <v>Plate Milk Pre-coolerWashington FreeStall</v>
      </c>
      <c r="C84" t="str">
        <f t="shared" ref="C84:C86" si="51">C49</f>
        <v>Plate Milk Pre-cooler</v>
      </c>
      <c r="D84" t="str">
        <f t="shared" ref="D84:D89" si="52">CONCATENATE(D49," ",B49)</f>
        <v>Washington FreeStall</v>
      </c>
      <c r="E84" s="538">
        <f t="shared" ref="E84:X84" ca="1" si="53">E49*E$61*$AA$25</f>
        <v>10955.042780434786</v>
      </c>
      <c r="F84" s="538">
        <f t="shared" ca="1" si="53"/>
        <v>13686.101867205236</v>
      </c>
      <c r="G84" s="538">
        <f t="shared" ca="1" si="53"/>
        <v>17061.828530615025</v>
      </c>
      <c r="H84" s="538">
        <f t="shared" ca="1" si="53"/>
        <v>20116.483418139094</v>
      </c>
      <c r="I84" s="538">
        <f t="shared" ca="1" si="53"/>
        <v>23319.867711395491</v>
      </c>
      <c r="J84" s="538">
        <f t="shared" ca="1" si="53"/>
        <v>27635.031770739643</v>
      </c>
      <c r="K84" s="538">
        <f t="shared" ca="1" si="53"/>
        <v>30827.975761969341</v>
      </c>
      <c r="L84" s="538">
        <f t="shared" ca="1" si="53"/>
        <v>31889.791738962711</v>
      </c>
      <c r="M84" s="538">
        <f t="shared" ca="1" si="53"/>
        <v>30505.903430799041</v>
      </c>
      <c r="N84" s="538">
        <f t="shared" ca="1" si="53"/>
        <v>26668.258571155744</v>
      </c>
      <c r="O84" s="538">
        <f t="shared" ca="1" si="53"/>
        <v>21015.534045856639</v>
      </c>
      <c r="P84" s="538">
        <f t="shared" ca="1" si="53"/>
        <v>14700.446993698097</v>
      </c>
      <c r="Q84" s="538">
        <f t="shared" ca="1" si="53"/>
        <v>8950.8975705450939</v>
      </c>
      <c r="R84" s="538">
        <f t="shared" ca="1" si="53"/>
        <v>4663.7804494391603</v>
      </c>
      <c r="S84" s="538">
        <f t="shared" ca="1" si="53"/>
        <v>2034.2428039328604</v>
      </c>
      <c r="T84" s="538">
        <f t="shared" ca="1" si="53"/>
        <v>728.71362449967751</v>
      </c>
      <c r="U84" s="538">
        <f t="shared" ca="1" si="53"/>
        <v>208.14434732890155</v>
      </c>
      <c r="V84" s="538">
        <f t="shared" ca="1" si="53"/>
        <v>46.068168722610956</v>
      </c>
      <c r="W84" s="538">
        <f t="shared" ca="1" si="53"/>
        <v>7.7169529166551056</v>
      </c>
      <c r="X84" s="538">
        <f t="shared" ca="1" si="53"/>
        <v>0.93925231394821684</v>
      </c>
      <c r="Y84" s="538"/>
      <c r="AA84" s="538">
        <f t="shared" ref="AA84:AA86" ca="1" si="54">SUM(E84:X84)</f>
        <v>285022.76979066973</v>
      </c>
      <c r="AC84" s="530"/>
      <c r="AD84" s="530"/>
      <c r="AE84" s="530"/>
      <c r="AF84" s="530"/>
      <c r="AG84" s="530"/>
      <c r="AH84" s="530"/>
      <c r="AI84" s="530"/>
      <c r="AJ84" s="530"/>
      <c r="AK84" s="530"/>
      <c r="AL84" s="530"/>
      <c r="AM84" s="530"/>
      <c r="AN84" s="530"/>
      <c r="AO84" s="530"/>
      <c r="AP84" s="530"/>
      <c r="AQ84" s="530"/>
      <c r="AR84" s="530"/>
      <c r="AS84" s="530"/>
      <c r="AT84" s="530"/>
      <c r="AU84" s="530"/>
      <c r="AV84" s="530"/>
      <c r="AW84" s="530"/>
      <c r="AX84" s="530"/>
      <c r="AY84" s="530"/>
      <c r="AZ84" s="530"/>
      <c r="BA84" s="530"/>
      <c r="BB84" s="530"/>
      <c r="BC84" s="530"/>
      <c r="BD84" s="530"/>
      <c r="BE84" s="530"/>
      <c r="BF84" s="530"/>
      <c r="BG84" s="530"/>
      <c r="BH84" s="530"/>
      <c r="BI84" s="530"/>
      <c r="BJ84" s="530"/>
      <c r="BK84" s="530"/>
      <c r="BL84" s="530"/>
      <c r="BM84" s="530"/>
      <c r="BN84" s="530"/>
      <c r="BO84" s="530"/>
      <c r="BP84" s="530"/>
      <c r="BQ84" s="530"/>
      <c r="BR84" s="530"/>
      <c r="BS84" s="530"/>
    </row>
    <row r="85" spans="2:71">
      <c r="B85" t="str">
        <f t="shared" si="14"/>
        <v>Energy Efficient LightingWashington FreeStall</v>
      </c>
      <c r="C85" t="str">
        <f t="shared" si="51"/>
        <v>Energy Efficient Lighting</v>
      </c>
      <c r="D85" t="str">
        <f t="shared" si="52"/>
        <v>Washington FreeStall</v>
      </c>
      <c r="E85" s="538">
        <f t="shared" ref="E85:X85" ca="1" si="55">E50*E$61*$AA$25</f>
        <v>52114.285507800749</v>
      </c>
      <c r="F85" s="538">
        <f t="shared" ca="1" si="55"/>
        <v>65106.219527521651</v>
      </c>
      <c r="G85" s="538">
        <f t="shared" ca="1" si="55"/>
        <v>81164.904706499248</v>
      </c>
      <c r="H85" s="538">
        <f t="shared" ca="1" si="55"/>
        <v>95696.21783113046</v>
      </c>
      <c r="I85" s="538">
        <f t="shared" ca="1" si="55"/>
        <v>110935.05231091169</v>
      </c>
      <c r="J85" s="538">
        <f t="shared" ca="1" si="55"/>
        <v>131462.73954215558</v>
      </c>
      <c r="K85" s="538">
        <f t="shared" ca="1" si="55"/>
        <v>146651.90841208829</v>
      </c>
      <c r="L85" s="538">
        <f t="shared" ca="1" si="55"/>
        <v>151703.0781875824</v>
      </c>
      <c r="M85" s="538">
        <f t="shared" ca="1" si="55"/>
        <v>145119.77661149431</v>
      </c>
      <c r="N85" s="538">
        <f t="shared" ca="1" si="55"/>
        <v>126863.69820984908</v>
      </c>
      <c r="O85" s="538">
        <f t="shared" ca="1" si="55"/>
        <v>99973.095798464143</v>
      </c>
      <c r="P85" s="538">
        <f t="shared" ca="1" si="55"/>
        <v>69931.565496950847</v>
      </c>
      <c r="Q85" s="538">
        <f t="shared" ca="1" si="55"/>
        <v>42580.356908834794</v>
      </c>
      <c r="R85" s="538">
        <f t="shared" ca="1" si="55"/>
        <v>22186.091899325787</v>
      </c>
      <c r="S85" s="538">
        <f t="shared" ca="1" si="55"/>
        <v>9677.1060050701835</v>
      </c>
      <c r="T85" s="538">
        <f t="shared" ca="1" si="55"/>
        <v>3466.5670086131136</v>
      </c>
      <c r="U85" s="538">
        <f t="shared" ca="1" si="55"/>
        <v>990.16445311432267</v>
      </c>
      <c r="V85" s="538">
        <f t="shared" ca="1" si="55"/>
        <v>219.1511019856008</v>
      </c>
      <c r="W85" s="538">
        <f t="shared" ca="1" si="55"/>
        <v>36.710352995340713</v>
      </c>
      <c r="X85" s="538">
        <f t="shared" ca="1" si="55"/>
        <v>4.4681215978799855</v>
      </c>
      <c r="Y85" s="538"/>
      <c r="AA85" s="538">
        <f t="shared" ca="1" si="54"/>
        <v>1355883.1579939858</v>
      </c>
      <c r="AC85" s="530"/>
      <c r="AD85" s="530"/>
      <c r="AE85" s="530"/>
      <c r="AF85" s="530"/>
      <c r="AG85" s="530"/>
      <c r="AH85" s="530"/>
      <c r="AI85" s="530"/>
      <c r="AJ85" s="530"/>
      <c r="AK85" s="530"/>
      <c r="AL85" s="530"/>
      <c r="AM85" s="530"/>
      <c r="AN85" s="530"/>
      <c r="AO85" s="530"/>
      <c r="AP85" s="530"/>
      <c r="AQ85" s="530"/>
      <c r="AR85" s="530"/>
      <c r="AS85" s="530"/>
      <c r="AT85" s="530"/>
      <c r="AU85" s="530"/>
      <c r="AV85" s="530"/>
      <c r="AW85" s="530"/>
      <c r="AX85" s="530"/>
      <c r="AY85" s="530"/>
      <c r="AZ85" s="530"/>
      <c r="BA85" s="530"/>
      <c r="BB85" s="530"/>
      <c r="BC85" s="530"/>
      <c r="BD85" s="530"/>
      <c r="BE85" s="530"/>
      <c r="BF85" s="530"/>
      <c r="BG85" s="530"/>
      <c r="BH85" s="530"/>
      <c r="BI85" s="530"/>
      <c r="BJ85" s="530"/>
      <c r="BK85" s="530"/>
      <c r="BL85" s="530"/>
      <c r="BM85" s="530"/>
      <c r="BN85" s="530"/>
      <c r="BO85" s="530"/>
      <c r="BP85" s="530"/>
      <c r="BQ85" s="530"/>
      <c r="BR85" s="530"/>
      <c r="BS85" s="530"/>
    </row>
    <row r="86" spans="2:71">
      <c r="B86" t="str">
        <f t="shared" si="14"/>
        <v>VSD - Vacuum PumpWashington TieStall</v>
      </c>
      <c r="C86" t="str">
        <f t="shared" si="51"/>
        <v>VSD - Vacuum Pump</v>
      </c>
      <c r="D86" t="str">
        <f t="shared" si="52"/>
        <v>Washington TieStall</v>
      </c>
      <c r="E86" s="538">
        <f t="shared" ref="E86:X86" si="56">E51*E$61*$AA$25</f>
        <v>629.52259258463278</v>
      </c>
      <c r="F86" s="538">
        <f t="shared" si="56"/>
        <v>772.95334626373347</v>
      </c>
      <c r="G86" s="538">
        <f t="shared" si="56"/>
        <v>945.86869688759919</v>
      </c>
      <c r="H86" s="538">
        <f t="shared" si="56"/>
        <v>1098.0045219499409</v>
      </c>
      <c r="I86" s="538">
        <f t="shared" si="56"/>
        <v>1252.4132008222189</v>
      </c>
      <c r="J86" s="538">
        <f t="shared" si="56"/>
        <v>1464.2215754336219</v>
      </c>
      <c r="K86" s="538">
        <f t="shared" si="56"/>
        <v>1606.2738068913043</v>
      </c>
      <c r="L86" s="538">
        <f t="shared" si="56"/>
        <v>1640.9221560188453</v>
      </c>
      <c r="M86" s="538">
        <f t="shared" si="56"/>
        <v>1546.3722035006733</v>
      </c>
      <c r="N86" s="538">
        <f t="shared" si="56"/>
        <v>1329.2378911751618</v>
      </c>
      <c r="O86" s="538">
        <f t="shared" si="56"/>
        <v>1028.6204009635931</v>
      </c>
      <c r="P86" s="538">
        <f t="shared" si="56"/>
        <v>705.91970354188118</v>
      </c>
      <c r="Q86" s="538">
        <f t="shared" si="56"/>
        <v>422.4277344570578</v>
      </c>
      <c r="R86" s="538">
        <f t="shared" si="56"/>
        <v>216.29173726090187</v>
      </c>
      <c r="S86" s="538">
        <f t="shared" si="56"/>
        <v>92.796525316386223</v>
      </c>
      <c r="T86" s="538">
        <f t="shared" si="56"/>
        <v>32.601331278580489</v>
      </c>
      <c r="U86" s="538">
        <f t="shared" si="56"/>
        <v>9.1457923529399174</v>
      </c>
      <c r="V86" s="538">
        <f t="shared" si="56"/>
        <v>1.9933674619967585</v>
      </c>
      <c r="W86" s="538">
        <f t="shared" si="56"/>
        <v>0.32765386953870257</v>
      </c>
      <c r="X86" s="538">
        <f t="shared" si="56"/>
        <v>3.9329619795196905E-2</v>
      </c>
      <c r="Y86" s="538"/>
      <c r="AA86" s="538">
        <f t="shared" si="54"/>
        <v>14795.953567650404</v>
      </c>
      <c r="AC86" s="530"/>
      <c r="AD86" s="530"/>
      <c r="AE86" s="530"/>
      <c r="AF86" s="530"/>
      <c r="AG86" s="530"/>
      <c r="AH86" s="530"/>
      <c r="AI86" s="530"/>
      <c r="AJ86" s="530"/>
      <c r="AK86" s="530"/>
      <c r="AL86" s="530"/>
      <c r="AM86" s="530"/>
      <c r="AN86" s="530"/>
      <c r="AO86" s="530"/>
      <c r="AP86" s="530"/>
      <c r="AQ86" s="530"/>
      <c r="AR86" s="530"/>
      <c r="AS86" s="530"/>
      <c r="AT86" s="530"/>
      <c r="AU86" s="530"/>
      <c r="AV86" s="530"/>
      <c r="AW86" s="530"/>
      <c r="AX86" s="530"/>
      <c r="AY86" s="530"/>
      <c r="AZ86" s="530"/>
      <c r="BA86" s="530"/>
      <c r="BB86" s="530"/>
      <c r="BC86" s="530"/>
      <c r="BD86" s="530"/>
      <c r="BE86" s="530"/>
      <c r="BF86" s="530"/>
      <c r="BG86" s="530"/>
      <c r="BH86" s="530"/>
      <c r="BI86" s="530"/>
      <c r="BJ86" s="530"/>
      <c r="BK86" s="530"/>
      <c r="BL86" s="530"/>
      <c r="BM86" s="530"/>
      <c r="BN86" s="530"/>
      <c r="BO86" s="530"/>
      <c r="BP86" s="530"/>
      <c r="BQ86" s="530"/>
      <c r="BR86" s="530"/>
      <c r="BS86" s="530"/>
    </row>
    <row r="87" spans="2:71">
      <c r="B87" t="str">
        <f t="shared" si="14"/>
        <v>Heat Recovery RefrigerationWashington TieStall</v>
      </c>
      <c r="C87" t="str">
        <f>C52</f>
        <v>Heat Recovery Refrigeration</v>
      </c>
      <c r="D87" t="str">
        <f t="shared" si="52"/>
        <v>Washington TieStall</v>
      </c>
      <c r="E87" s="538">
        <f t="shared" ref="E87:X87" si="57">E52*E$61*$AA$25</f>
        <v>3302.0463764274168</v>
      </c>
      <c r="F87" s="538">
        <f t="shared" si="57"/>
        <v>4054.3863337747862</v>
      </c>
      <c r="G87" s="538">
        <f t="shared" si="57"/>
        <v>4961.382387104597</v>
      </c>
      <c r="H87" s="538">
        <f t="shared" si="57"/>
        <v>5759.3832146989835</v>
      </c>
      <c r="I87" s="538">
        <f t="shared" si="57"/>
        <v>6569.3058839804735</v>
      </c>
      <c r="J87" s="538">
        <f t="shared" si="57"/>
        <v>7680.3082278535212</v>
      </c>
      <c r="K87" s="538">
        <f t="shared" si="57"/>
        <v>8425.4173973631259</v>
      </c>
      <c r="L87" s="538">
        <f t="shared" si="57"/>
        <v>8607.159017177044</v>
      </c>
      <c r="M87" s="538">
        <f t="shared" si="57"/>
        <v>8111.2144207771289</v>
      </c>
      <c r="N87" s="538">
        <f t="shared" si="57"/>
        <v>6972.27583833678</v>
      </c>
      <c r="O87" s="538">
        <f t="shared" si="57"/>
        <v>5395.4414150188231</v>
      </c>
      <c r="P87" s="538">
        <f t="shared" si="57"/>
        <v>3702.7735407539153</v>
      </c>
      <c r="Q87" s="538">
        <f t="shared" si="57"/>
        <v>2215.7679268339275</v>
      </c>
      <c r="R87" s="538">
        <f t="shared" si="57"/>
        <v>1134.5190080331145</v>
      </c>
      <c r="S87" s="538">
        <f t="shared" si="57"/>
        <v>486.74731260710621</v>
      </c>
      <c r="T87" s="538">
        <f t="shared" si="57"/>
        <v>171.00435962617806</v>
      </c>
      <c r="U87" s="538">
        <f t="shared" si="57"/>
        <v>47.972592015468905</v>
      </c>
      <c r="V87" s="538">
        <f t="shared" si="57"/>
        <v>10.455846831088602</v>
      </c>
      <c r="W87" s="538">
        <f t="shared" si="57"/>
        <v>1.7186488386232788</v>
      </c>
      <c r="X87" s="538">
        <f t="shared" si="57"/>
        <v>0.20629637452374439</v>
      </c>
      <c r="Y87" s="538"/>
      <c r="AA87" s="538">
        <f>SUM(E87:X87)</f>
        <v>77609.486044426638</v>
      </c>
      <c r="AC87" s="530"/>
      <c r="AD87" s="530"/>
      <c r="AE87" s="530"/>
      <c r="AF87" s="530"/>
      <c r="AG87" s="530"/>
      <c r="AH87" s="530"/>
      <c r="AI87" s="530"/>
      <c r="AJ87" s="530"/>
      <c r="AK87" s="530"/>
      <c r="AL87" s="530"/>
      <c r="AM87" s="530"/>
      <c r="AN87" s="530"/>
      <c r="AO87" s="530"/>
      <c r="AP87" s="530"/>
      <c r="AQ87" s="530"/>
      <c r="AR87" s="530"/>
      <c r="AS87" s="530"/>
      <c r="AT87" s="530"/>
      <c r="AU87" s="530"/>
      <c r="AV87" s="530"/>
      <c r="AW87" s="530"/>
      <c r="AX87" s="530"/>
      <c r="AY87" s="530"/>
      <c r="AZ87" s="530"/>
      <c r="BA87" s="530"/>
      <c r="BB87" s="530"/>
      <c r="BC87" s="530"/>
      <c r="BD87" s="530"/>
      <c r="BE87" s="530"/>
      <c r="BF87" s="530"/>
      <c r="BG87" s="530"/>
      <c r="BH87" s="530"/>
      <c r="BI87" s="530"/>
      <c r="BJ87" s="530"/>
      <c r="BK87" s="530"/>
      <c r="BL87" s="530"/>
      <c r="BM87" s="530"/>
      <c r="BN87" s="530"/>
      <c r="BO87" s="530"/>
      <c r="BP87" s="530"/>
      <c r="BQ87" s="530"/>
      <c r="BR87" s="530"/>
      <c r="BS87" s="530"/>
    </row>
    <row r="88" spans="2:71">
      <c r="B88" t="str">
        <f t="shared" si="14"/>
        <v>Plate Milk Pre-CoolerWashington TieStall</v>
      </c>
      <c r="C88" t="str">
        <f t="shared" ref="C88:C89" si="58">C53</f>
        <v>Plate Milk Pre-Cooler</v>
      </c>
      <c r="D88" t="str">
        <f t="shared" si="52"/>
        <v>Washington TieStall</v>
      </c>
      <c r="E88" s="538">
        <f t="shared" ref="E88:X88" si="59">E53*E$61*$AA$25</f>
        <v>2118.0736902108874</v>
      </c>
      <c r="F88" s="538">
        <f t="shared" si="59"/>
        <v>2600.6566972599626</v>
      </c>
      <c r="G88" s="538">
        <f t="shared" si="59"/>
        <v>3182.4427349719649</v>
      </c>
      <c r="H88" s="538">
        <f t="shared" si="59"/>
        <v>3694.3145759492222</v>
      </c>
      <c r="I88" s="538">
        <f t="shared" si="59"/>
        <v>4213.8335957779273</v>
      </c>
      <c r="J88" s="538">
        <f t="shared" si="59"/>
        <v>4926.4779883942765</v>
      </c>
      <c r="K88" s="538">
        <f t="shared" si="59"/>
        <v>5404.4228590476905</v>
      </c>
      <c r="L88" s="538">
        <f t="shared" si="59"/>
        <v>5520.9997024537033</v>
      </c>
      <c r="M88" s="538">
        <f t="shared" si="59"/>
        <v>5202.8796394116371</v>
      </c>
      <c r="N88" s="538">
        <f t="shared" si="59"/>
        <v>4472.3157492572573</v>
      </c>
      <c r="O88" s="538">
        <f t="shared" si="59"/>
        <v>3460.8667491187107</v>
      </c>
      <c r="P88" s="538">
        <f t="shared" si="59"/>
        <v>2375.1172222981263</v>
      </c>
      <c r="Q88" s="538">
        <f t="shared" si="59"/>
        <v>1421.2882601963133</v>
      </c>
      <c r="R88" s="538">
        <f t="shared" si="59"/>
        <v>727.72898621701563</v>
      </c>
      <c r="S88" s="538">
        <f t="shared" si="59"/>
        <v>312.22053208392538</v>
      </c>
      <c r="T88" s="538">
        <f t="shared" si="59"/>
        <v>109.68950576261851</v>
      </c>
      <c r="U88" s="538">
        <f t="shared" si="59"/>
        <v>30.771671083893111</v>
      </c>
      <c r="V88" s="538">
        <f t="shared" si="59"/>
        <v>6.7068270875602742</v>
      </c>
      <c r="W88" s="538">
        <f t="shared" si="59"/>
        <v>1.1024148279037596</v>
      </c>
      <c r="X88" s="538">
        <f t="shared" si="59"/>
        <v>0.1323273126579721</v>
      </c>
      <c r="Y88" s="538"/>
      <c r="AA88" s="538">
        <f t="shared" ref="AA88:AA89" si="60">SUM(E88:X88)</f>
        <v>49782.041728723249</v>
      </c>
      <c r="AC88" s="530"/>
      <c r="AD88" s="530"/>
      <c r="AE88" s="530"/>
      <c r="AF88" s="530"/>
      <c r="AG88" s="530"/>
      <c r="AH88" s="530"/>
      <c r="AI88" s="530"/>
      <c r="AJ88" s="530"/>
      <c r="AK88" s="530"/>
      <c r="AL88" s="530"/>
      <c r="AM88" s="530"/>
      <c r="AN88" s="530"/>
      <c r="AO88" s="530"/>
      <c r="AP88" s="530"/>
      <c r="AQ88" s="530"/>
      <c r="AR88" s="530"/>
      <c r="AS88" s="530"/>
      <c r="AT88" s="530"/>
      <c r="AU88" s="530"/>
      <c r="AV88" s="530"/>
      <c r="AW88" s="530"/>
      <c r="AX88" s="530"/>
      <c r="AY88" s="530"/>
      <c r="AZ88" s="530"/>
      <c r="BA88" s="530"/>
      <c r="BB88" s="530"/>
      <c r="BC88" s="530"/>
      <c r="BD88" s="530"/>
      <c r="BE88" s="530"/>
      <c r="BF88" s="530"/>
      <c r="BG88" s="530"/>
      <c r="BH88" s="530"/>
      <c r="BI88" s="530"/>
      <c r="BJ88" s="530"/>
      <c r="BK88" s="530"/>
      <c r="BL88" s="530"/>
      <c r="BM88" s="530"/>
      <c r="BN88" s="530"/>
      <c r="BO88" s="530"/>
      <c r="BP88" s="530"/>
      <c r="BQ88" s="530"/>
      <c r="BR88" s="530"/>
      <c r="BS88" s="530"/>
    </row>
    <row r="89" spans="2:71">
      <c r="B89" t="str">
        <f t="shared" si="14"/>
        <v>Energy Efficient LightingWashington TieStall</v>
      </c>
      <c r="C89" t="str">
        <f t="shared" si="58"/>
        <v>Energy Efficient Lighting</v>
      </c>
      <c r="D89" t="str">
        <f t="shared" si="52"/>
        <v>Washington TieStall</v>
      </c>
      <c r="E89" s="538">
        <f t="shared" ref="E89:X89" si="61">E54*E$61*$AA$25</f>
        <v>282.07684250319369</v>
      </c>
      <c r="F89" s="538">
        <f t="shared" si="61"/>
        <v>346.34537645611107</v>
      </c>
      <c r="G89" s="538">
        <f t="shared" si="61"/>
        <v>423.82538543252497</v>
      </c>
      <c r="H89" s="538">
        <f t="shared" si="61"/>
        <v>491.99449273812849</v>
      </c>
      <c r="I89" s="538">
        <f t="shared" si="61"/>
        <v>561.18202167582308</v>
      </c>
      <c r="J89" s="538">
        <f t="shared" si="61"/>
        <v>656.08923903369077</v>
      </c>
      <c r="K89" s="538">
        <f t="shared" si="61"/>
        <v>719.74008396302338</v>
      </c>
      <c r="L89" s="538">
        <f t="shared" si="61"/>
        <v>735.26533601111589</v>
      </c>
      <c r="M89" s="538">
        <f t="shared" si="61"/>
        <v>692.89933933472616</v>
      </c>
      <c r="N89" s="538">
        <f t="shared" si="61"/>
        <v>595.60567276683662</v>
      </c>
      <c r="O89" s="538">
        <f t="shared" si="61"/>
        <v>460.90481621463283</v>
      </c>
      <c r="P89" s="538">
        <f t="shared" si="61"/>
        <v>316.3089035745993</v>
      </c>
      <c r="Q89" s="538">
        <f t="shared" si="61"/>
        <v>189.28166030102403</v>
      </c>
      <c r="R89" s="538">
        <f t="shared" si="61"/>
        <v>96.916125052149397</v>
      </c>
      <c r="S89" s="538">
        <f t="shared" si="61"/>
        <v>41.580320015273863</v>
      </c>
      <c r="T89" s="538">
        <f t="shared" si="61"/>
        <v>14.608023122261928</v>
      </c>
      <c r="U89" s="538">
        <f t="shared" si="61"/>
        <v>4.0980518562728419</v>
      </c>
      <c r="V89" s="538">
        <f t="shared" si="61"/>
        <v>0.89318922982586602</v>
      </c>
      <c r="W89" s="538">
        <f t="shared" si="61"/>
        <v>0.14681533282859136</v>
      </c>
      <c r="X89" s="538">
        <f t="shared" si="61"/>
        <v>1.7622838480080089E-2</v>
      </c>
      <c r="Y89" s="538"/>
      <c r="AA89" s="538">
        <f t="shared" si="60"/>
        <v>6629.7793174525232</v>
      </c>
      <c r="AC89" s="530"/>
      <c r="AD89" s="530"/>
      <c r="AE89" s="530"/>
      <c r="AF89" s="530"/>
      <c r="AG89" s="530"/>
      <c r="AH89" s="530"/>
      <c r="AI89" s="530"/>
      <c r="AJ89" s="530"/>
      <c r="AK89" s="530"/>
      <c r="AL89" s="530"/>
      <c r="AM89" s="530"/>
      <c r="AN89" s="530"/>
      <c r="AO89" s="530"/>
      <c r="AP89" s="530"/>
      <c r="AQ89" s="530"/>
      <c r="AR89" s="530"/>
      <c r="AS89" s="530"/>
      <c r="AT89" s="530"/>
      <c r="AU89" s="530"/>
      <c r="AV89" s="530"/>
      <c r="AW89" s="530"/>
      <c r="AX89" s="530"/>
      <c r="AY89" s="530"/>
      <c r="AZ89" s="530"/>
      <c r="BA89" s="530"/>
      <c r="BB89" s="530"/>
      <c r="BC89" s="530"/>
      <c r="BD89" s="530"/>
      <c r="BE89" s="530"/>
      <c r="BF89" s="530"/>
      <c r="BG89" s="530"/>
      <c r="BH89" s="530"/>
      <c r="BI89" s="530"/>
      <c r="BJ89" s="530"/>
      <c r="BK89" s="530"/>
      <c r="BL89" s="530"/>
      <c r="BM89" s="530"/>
      <c r="BN89" s="530"/>
      <c r="BO89" s="530"/>
      <c r="BP89" s="530"/>
      <c r="BQ89" s="530"/>
      <c r="BR89" s="530"/>
      <c r="BS89" s="530"/>
    </row>
    <row r="90" spans="2:71">
      <c r="E90" s="538"/>
      <c r="F90" s="538"/>
      <c r="G90" s="538"/>
      <c r="H90" s="538"/>
      <c r="I90" s="538"/>
      <c r="J90" s="538"/>
      <c r="K90" s="538"/>
      <c r="L90" s="538"/>
      <c r="M90" s="538"/>
      <c r="N90" s="538"/>
      <c r="O90" s="538"/>
      <c r="P90" s="538"/>
      <c r="Q90" s="538"/>
      <c r="R90" s="538"/>
      <c r="S90" s="538"/>
      <c r="T90" s="538"/>
      <c r="U90" s="538"/>
      <c r="V90" s="538"/>
      <c r="W90" s="538"/>
      <c r="X90" s="538"/>
      <c r="Y90" s="538"/>
      <c r="AA90" s="538"/>
      <c r="AC90" s="530"/>
      <c r="AD90" s="530"/>
      <c r="AE90" s="530"/>
      <c r="AF90" s="530"/>
      <c r="AG90" s="530"/>
      <c r="AH90" s="530"/>
      <c r="AI90" s="530"/>
      <c r="AJ90" s="530"/>
      <c r="AK90" s="530"/>
      <c r="AL90" s="530"/>
      <c r="AM90" s="530"/>
      <c r="AN90" s="530"/>
      <c r="AO90" s="530"/>
      <c r="AP90" s="530"/>
      <c r="AQ90" s="530"/>
      <c r="AR90" s="530"/>
      <c r="AS90" s="530"/>
      <c r="AT90" s="530"/>
      <c r="AU90" s="530"/>
      <c r="AV90" s="530"/>
      <c r="AW90" s="530"/>
      <c r="AX90" s="530"/>
      <c r="AY90" s="530"/>
      <c r="AZ90" s="530"/>
      <c r="BA90" s="530"/>
      <c r="BB90" s="530"/>
      <c r="BC90" s="530"/>
      <c r="BD90" s="530"/>
      <c r="BE90" s="530"/>
      <c r="BF90" s="530"/>
      <c r="BG90" s="530"/>
      <c r="BH90" s="530"/>
      <c r="BI90" s="530"/>
      <c r="BJ90" s="530"/>
      <c r="BK90" s="530"/>
      <c r="BL90" s="530"/>
      <c r="BM90" s="530"/>
      <c r="BN90" s="530"/>
      <c r="BO90" s="530"/>
      <c r="BP90" s="530"/>
      <c r="BQ90" s="530"/>
      <c r="BR90" s="530"/>
      <c r="BS90" s="530"/>
    </row>
    <row r="91" spans="2:71">
      <c r="E91" s="538"/>
      <c r="F91" s="538"/>
      <c r="G91" s="538"/>
      <c r="H91" s="538"/>
      <c r="I91" s="538"/>
      <c r="J91" s="538"/>
      <c r="K91" s="538"/>
      <c r="L91" s="538"/>
      <c r="M91" s="538"/>
      <c r="N91" s="538"/>
      <c r="O91" s="538"/>
      <c r="P91" s="538"/>
      <c r="Q91" s="538"/>
      <c r="R91" s="538"/>
      <c r="S91" s="538"/>
      <c r="T91" s="538"/>
      <c r="U91" s="538"/>
      <c r="V91" s="538"/>
      <c r="W91" s="538"/>
      <c r="X91" s="538"/>
      <c r="Y91" s="538"/>
      <c r="AA91" s="538"/>
      <c r="AC91" s="530"/>
      <c r="AD91" s="530"/>
      <c r="AE91" s="530"/>
      <c r="AF91" s="530"/>
      <c r="AG91" s="530"/>
      <c r="AH91" s="530"/>
      <c r="AI91" s="530"/>
      <c r="AJ91" s="530"/>
      <c r="AK91" s="530"/>
      <c r="AL91" s="530"/>
      <c r="AM91" s="530"/>
      <c r="AN91" s="530"/>
      <c r="AO91" s="530"/>
      <c r="AP91" s="530"/>
      <c r="AQ91" s="530"/>
      <c r="AR91" s="530"/>
      <c r="AS91" s="530"/>
      <c r="AT91" s="530"/>
      <c r="AU91" s="530"/>
      <c r="AV91" s="530"/>
      <c r="AW91" s="530"/>
      <c r="AX91" s="530"/>
      <c r="AY91" s="530"/>
      <c r="AZ91" s="530"/>
      <c r="BA91" s="530"/>
      <c r="BB91" s="530"/>
      <c r="BC91" s="530"/>
      <c r="BD91" s="530"/>
      <c r="BE91" s="530"/>
      <c r="BF91" s="530"/>
      <c r="BG91" s="530"/>
      <c r="BH91" s="530"/>
      <c r="BI91" s="530"/>
      <c r="BJ91" s="530"/>
      <c r="BK91" s="530"/>
      <c r="BL91" s="530"/>
      <c r="BM91" s="530"/>
      <c r="BN91" s="530"/>
      <c r="BO91" s="530"/>
      <c r="BP91" s="530"/>
      <c r="BQ91" s="530"/>
      <c r="BR91" s="530"/>
      <c r="BS91" s="530"/>
    </row>
    <row r="92" spans="2:71">
      <c r="E92" s="538"/>
      <c r="F92" s="538"/>
      <c r="G92" s="538"/>
      <c r="H92" s="538"/>
      <c r="I92" s="538"/>
      <c r="J92" s="538"/>
      <c r="K92" s="538"/>
      <c r="L92" s="538"/>
      <c r="M92" s="538"/>
      <c r="N92" s="538"/>
      <c r="O92" s="538"/>
      <c r="P92" s="538"/>
      <c r="Q92" s="538"/>
      <c r="R92" s="538"/>
      <c r="S92" s="538"/>
      <c r="T92" s="538"/>
      <c r="U92" s="538"/>
      <c r="V92" s="538"/>
      <c r="W92" s="538"/>
      <c r="X92" s="538"/>
      <c r="Y92" s="538"/>
      <c r="AC92" s="530"/>
      <c r="AD92" s="530"/>
      <c r="AE92" s="530"/>
      <c r="AF92" s="530"/>
      <c r="AG92" s="530"/>
      <c r="AH92" s="530"/>
      <c r="AI92" s="530"/>
      <c r="AJ92" s="530"/>
      <c r="AK92" s="530"/>
      <c r="AL92" s="530"/>
      <c r="AM92" s="530"/>
      <c r="AN92" s="530"/>
      <c r="AO92" s="530"/>
      <c r="AP92" s="530"/>
      <c r="AQ92" s="530"/>
      <c r="AR92" s="530"/>
      <c r="AS92" s="530"/>
      <c r="AT92" s="530"/>
      <c r="AU92" s="530"/>
      <c r="AV92" s="530"/>
      <c r="AW92" s="530"/>
      <c r="AX92" s="530"/>
      <c r="AY92" s="530"/>
      <c r="AZ92" s="530"/>
      <c r="BA92" s="530"/>
      <c r="BB92" s="530"/>
      <c r="BC92" s="530"/>
      <c r="BD92" s="530"/>
      <c r="BE92" s="530"/>
      <c r="BF92" s="530"/>
      <c r="BG92" s="530"/>
      <c r="BH92" s="530"/>
      <c r="BI92" s="530"/>
      <c r="BJ92" s="530"/>
      <c r="BK92" s="530"/>
      <c r="BL92" s="530"/>
      <c r="BM92" s="530"/>
      <c r="BN92" s="530"/>
      <c r="BO92" s="530"/>
      <c r="BP92" s="530"/>
      <c r="BQ92" s="530"/>
      <c r="BR92" s="530"/>
      <c r="BS92" s="530"/>
    </row>
    <row r="93" spans="2:71">
      <c r="C93" t="s">
        <v>548</v>
      </c>
      <c r="E93" s="538">
        <f ca="1">SUM(E62:E90)</f>
        <v>253044.87898158253</v>
      </c>
      <c r="F93" s="538">
        <f t="shared" ref="F93:X93" ca="1" si="62">SUM(F62:F90)</f>
        <v>315175.27502528206</v>
      </c>
      <c r="G93" s="538">
        <f t="shared" ca="1" si="62"/>
        <v>390792.2525122338</v>
      </c>
      <c r="H93" s="538">
        <f t="shared" ca="1" si="62"/>
        <v>460339.79695255187</v>
      </c>
      <c r="I93" s="538">
        <f t="shared" ca="1" si="62"/>
        <v>532913.04723061062</v>
      </c>
      <c r="J93" s="538">
        <f t="shared" ca="1" si="62"/>
        <v>632397.64603624027</v>
      </c>
      <c r="K93" s="538">
        <f t="shared" ca="1" si="62"/>
        <v>704569.84675762162</v>
      </c>
      <c r="L93" s="538">
        <f t="shared" ca="1" si="62"/>
        <v>731180.48607720749</v>
      </c>
      <c r="M93" s="538">
        <f t="shared" ca="1" si="62"/>
        <v>700901.17816873326</v>
      </c>
      <c r="N93" s="538">
        <f t="shared" ca="1" si="62"/>
        <v>613486.94454888813</v>
      </c>
      <c r="O93" s="538">
        <f t="shared" ca="1" si="62"/>
        <v>484595.61260386818</v>
      </c>
      <c r="P93" s="538">
        <f t="shared" ca="1" si="62"/>
        <v>338831.23479833483</v>
      </c>
      <c r="Q93" s="538">
        <f t="shared" ca="1" si="62"/>
        <v>206624.63397628927</v>
      </c>
      <c r="R93" s="538">
        <f t="shared" ca="1" si="62"/>
        <v>107556.65380423862</v>
      </c>
      <c r="S93" s="538">
        <f t="shared" ca="1" si="62"/>
        <v>46925.937302338949</v>
      </c>
      <c r="T93" s="538">
        <f t="shared" ca="1" si="62"/>
        <v>16777.206380107273</v>
      </c>
      <c r="U93" s="538">
        <f t="shared" ca="1" si="62"/>
        <v>4783.5326863278406</v>
      </c>
      <c r="V93" s="538">
        <f t="shared" ca="1" si="62"/>
        <v>1058.1815522473873</v>
      </c>
      <c r="W93" s="538">
        <f t="shared" ca="1" si="62"/>
        <v>176.84684631499991</v>
      </c>
      <c r="X93" s="538">
        <f t="shared" ca="1" si="62"/>
        <v>21.485213606020658</v>
      </c>
      <c r="Y93" s="538"/>
      <c r="AA93" s="538">
        <f t="shared" ref="AA93" ca="1" si="63">SUM(E93:Y93)</f>
        <v>6542152.6774546243</v>
      </c>
      <c r="AC93" s="530"/>
      <c r="AD93" s="530"/>
      <c r="AE93" s="530"/>
      <c r="AF93" s="530"/>
      <c r="AG93" s="530"/>
      <c r="AH93" s="530"/>
      <c r="AI93" s="530"/>
      <c r="AJ93" s="530"/>
      <c r="AK93" s="530"/>
      <c r="AL93" s="530"/>
      <c r="AM93" s="530"/>
      <c r="AN93" s="530"/>
      <c r="AO93" s="530"/>
      <c r="AP93" s="530"/>
      <c r="AQ93" s="530"/>
      <c r="AR93" s="530"/>
      <c r="AS93" s="530"/>
      <c r="AT93" s="530"/>
      <c r="AU93" s="530"/>
      <c r="AV93" s="530"/>
      <c r="AW93" s="530"/>
      <c r="AX93" s="530"/>
      <c r="AY93" s="530"/>
      <c r="AZ93" s="530"/>
      <c r="BA93" s="530"/>
      <c r="BB93" s="530"/>
      <c r="BC93" s="530"/>
      <c r="BD93" s="530"/>
      <c r="BE93" s="530"/>
      <c r="BF93" s="530"/>
      <c r="BG93" s="530"/>
      <c r="BH93" s="530"/>
      <c r="BI93" s="530"/>
      <c r="BJ93" s="530"/>
      <c r="BK93" s="530"/>
      <c r="BL93" s="530"/>
      <c r="BM93" s="530"/>
      <c r="BN93" s="530"/>
      <c r="BO93" s="530"/>
      <c r="BP93" s="530"/>
      <c r="BQ93" s="530"/>
      <c r="BR93" s="530"/>
      <c r="BS93" s="530"/>
    </row>
    <row r="94" spans="2:71">
      <c r="AC94" s="530"/>
      <c r="AD94" s="530"/>
      <c r="AE94" s="530"/>
      <c r="AF94" s="530"/>
      <c r="AG94" s="530"/>
      <c r="AH94" s="530"/>
      <c r="AI94" s="530"/>
      <c r="AJ94" s="530"/>
      <c r="AK94" s="530"/>
      <c r="AL94" s="530"/>
      <c r="AM94" s="530"/>
      <c r="AN94" s="530"/>
      <c r="AO94" s="530"/>
      <c r="AP94" s="530"/>
      <c r="AQ94" s="530"/>
      <c r="AR94" s="530"/>
      <c r="AS94" s="530"/>
      <c r="AT94" s="530"/>
      <c r="AU94" s="530"/>
      <c r="AV94" s="530"/>
      <c r="AW94" s="530"/>
      <c r="AX94" s="530"/>
      <c r="AY94" s="530"/>
      <c r="AZ94" s="530"/>
      <c r="BA94" s="530"/>
      <c r="BB94" s="530"/>
      <c r="BC94" s="530"/>
      <c r="BD94" s="530"/>
      <c r="BE94" s="530"/>
      <c r="BF94" s="530"/>
      <c r="BG94" s="530"/>
      <c r="BH94" s="530"/>
      <c r="BI94" s="530"/>
      <c r="BJ94" s="530"/>
      <c r="BK94" s="530"/>
      <c r="BL94" s="530"/>
      <c r="BM94" s="530"/>
      <c r="BN94" s="530"/>
      <c r="BO94" s="530"/>
      <c r="BP94" s="530"/>
      <c r="BQ94" s="530"/>
      <c r="BR94" s="530"/>
      <c r="BS94" s="530"/>
    </row>
    <row r="95" spans="2:71">
      <c r="AB95" s="530"/>
      <c r="AC95" s="530"/>
      <c r="AD95" s="530"/>
      <c r="AE95" s="530"/>
      <c r="AF95" s="530"/>
      <c r="AG95" s="530"/>
      <c r="AH95" s="530"/>
      <c r="AI95" s="530"/>
      <c r="AJ95" s="530"/>
      <c r="AK95" s="530"/>
      <c r="AL95" s="530"/>
      <c r="AM95" s="530"/>
      <c r="AN95" s="530"/>
      <c r="AO95" s="530"/>
      <c r="AP95" s="530"/>
      <c r="AQ95" s="530"/>
      <c r="AR95" s="530"/>
      <c r="AS95" s="530"/>
      <c r="AT95" s="530"/>
      <c r="AU95" s="530"/>
      <c r="AV95" s="530"/>
      <c r="AW95" s="530"/>
      <c r="AX95" s="530"/>
      <c r="AY95" s="530"/>
      <c r="AZ95" s="530"/>
      <c r="BA95" s="530"/>
      <c r="BB95" s="530"/>
      <c r="BC95" s="530"/>
      <c r="BD95" s="530"/>
      <c r="BE95" s="530"/>
      <c r="BF95" s="530"/>
      <c r="BG95" s="530"/>
      <c r="BH95" s="530"/>
      <c r="BI95" s="530"/>
      <c r="BJ95" s="530"/>
      <c r="BK95" s="530"/>
      <c r="BL95" s="530"/>
      <c r="BM95" s="530"/>
      <c r="BN95" s="530"/>
      <c r="BO95" s="530"/>
      <c r="BP95" s="530"/>
      <c r="BQ95" s="530"/>
      <c r="BR95" s="530"/>
      <c r="BS95" s="530"/>
    </row>
    <row r="96" spans="2:71">
      <c r="AB96" s="530"/>
      <c r="AC96" s="530"/>
      <c r="AD96" s="530"/>
      <c r="AE96" s="530"/>
      <c r="AF96" s="530"/>
      <c r="AG96" s="530"/>
      <c r="AH96" s="530"/>
      <c r="AI96" s="530"/>
      <c r="AJ96" s="530"/>
      <c r="AK96" s="530"/>
      <c r="AL96" s="530"/>
      <c r="AM96" s="530"/>
      <c r="AN96" s="530"/>
      <c r="AO96" s="530"/>
      <c r="AP96" s="530"/>
      <c r="AQ96" s="530"/>
      <c r="AR96" s="530"/>
      <c r="AS96" s="530"/>
      <c r="AT96" s="530"/>
      <c r="AU96" s="530"/>
      <c r="AV96" s="530"/>
      <c r="AW96" s="530"/>
      <c r="AX96" s="530"/>
      <c r="AY96" s="530"/>
      <c r="AZ96" s="530"/>
      <c r="BA96" s="530"/>
      <c r="BB96" s="530"/>
      <c r="BC96" s="530"/>
      <c r="BD96" s="530"/>
      <c r="BE96" s="530"/>
      <c r="BF96" s="530"/>
      <c r="BG96" s="530"/>
      <c r="BH96" s="530"/>
      <c r="BI96" s="530"/>
      <c r="BJ96" s="530"/>
      <c r="BK96" s="530"/>
      <c r="BL96" s="530"/>
      <c r="BM96" s="530"/>
      <c r="BN96" s="530"/>
      <c r="BO96" s="530"/>
      <c r="BP96" s="530"/>
      <c r="BQ96" s="530"/>
      <c r="BR96" s="530"/>
      <c r="BS96" s="530"/>
    </row>
    <row r="97" spans="1:80" ht="15">
      <c r="A97" s="531" t="s">
        <v>381</v>
      </c>
      <c r="C97" s="540" t="str">
        <f>C8</f>
        <v>Dairy</v>
      </c>
      <c r="D97" s="540"/>
      <c r="E97" t="s">
        <v>382</v>
      </c>
      <c r="AA97" s="530"/>
      <c r="AB97" s="530"/>
      <c r="AC97" s="530"/>
      <c r="AD97" s="530"/>
      <c r="AE97" s="530"/>
      <c r="AF97" s="530"/>
      <c r="AG97" s="530"/>
      <c r="AH97" s="530"/>
      <c r="AI97" s="530"/>
      <c r="AJ97" s="530"/>
      <c r="AK97" s="530"/>
      <c r="AL97" s="530"/>
      <c r="AM97" s="530"/>
      <c r="AN97" s="530"/>
      <c r="AO97" s="530"/>
      <c r="AP97" s="530"/>
      <c r="AQ97" s="530"/>
      <c r="AR97" s="530"/>
      <c r="AS97" s="530"/>
      <c r="AT97" s="530"/>
      <c r="AU97" s="530"/>
      <c r="AV97" s="530"/>
      <c r="AW97" s="530"/>
      <c r="AX97" s="530"/>
      <c r="AY97" s="530"/>
      <c r="AZ97" s="530"/>
      <c r="BA97" s="530"/>
      <c r="BB97" s="530"/>
      <c r="BC97" s="530"/>
      <c r="BD97" s="530"/>
      <c r="BE97" s="530"/>
      <c r="BF97" s="530"/>
      <c r="BG97" s="530"/>
      <c r="BH97" s="530"/>
      <c r="BI97" s="530"/>
      <c r="BJ97" s="530"/>
      <c r="BK97" s="530"/>
      <c r="BL97" s="530"/>
      <c r="BM97" s="530"/>
      <c r="BN97" s="530"/>
      <c r="BO97" s="530"/>
      <c r="BP97" s="530"/>
      <c r="BQ97" s="530"/>
      <c r="BR97" s="530"/>
      <c r="BS97" s="530"/>
      <c r="BT97" s="530"/>
      <c r="BU97" s="530"/>
      <c r="BV97" s="530"/>
      <c r="BW97" s="530"/>
      <c r="BX97" s="530"/>
      <c r="BY97" s="530"/>
      <c r="BZ97" s="530"/>
      <c r="CA97" s="530"/>
      <c r="CB97" s="530"/>
    </row>
    <row r="98" spans="1:80" ht="15">
      <c r="A98" s="540" t="s">
        <v>383</v>
      </c>
      <c r="B98" s="540" t="s">
        <v>384</v>
      </c>
      <c r="C98" s="540">
        <v>1</v>
      </c>
      <c r="D98" s="540"/>
      <c r="E98" s="532">
        <f t="shared" ref="E98:X98" si="64">E11</f>
        <v>2016</v>
      </c>
      <c r="F98" s="533">
        <f t="shared" si="64"/>
        <v>2017</v>
      </c>
      <c r="G98" s="533">
        <f t="shared" si="64"/>
        <v>2018</v>
      </c>
      <c r="H98" s="533">
        <f t="shared" si="64"/>
        <v>2019</v>
      </c>
      <c r="I98" s="533">
        <f t="shared" si="64"/>
        <v>2020</v>
      </c>
      <c r="J98" s="533">
        <f t="shared" si="64"/>
        <v>2021</v>
      </c>
      <c r="K98" s="533">
        <f t="shared" si="64"/>
        <v>2022</v>
      </c>
      <c r="L98" s="533">
        <f t="shared" si="64"/>
        <v>2023</v>
      </c>
      <c r="M98" s="533">
        <f t="shared" si="64"/>
        <v>2024</v>
      </c>
      <c r="N98" s="533">
        <f t="shared" si="64"/>
        <v>2025</v>
      </c>
      <c r="O98" s="533">
        <f t="shared" si="64"/>
        <v>2026</v>
      </c>
      <c r="P98" s="533">
        <f t="shared" si="64"/>
        <v>2027</v>
      </c>
      <c r="Q98" s="533">
        <f t="shared" si="64"/>
        <v>2028</v>
      </c>
      <c r="R98" s="533">
        <f t="shared" si="64"/>
        <v>2029</v>
      </c>
      <c r="S98" s="533">
        <f t="shared" si="64"/>
        <v>2030</v>
      </c>
      <c r="T98" s="533">
        <f t="shared" si="64"/>
        <v>2031</v>
      </c>
      <c r="U98" s="533">
        <f t="shared" si="64"/>
        <v>2032</v>
      </c>
      <c r="V98" s="533">
        <f t="shared" si="64"/>
        <v>2033</v>
      </c>
      <c r="W98" s="533">
        <f t="shared" si="64"/>
        <v>2034</v>
      </c>
      <c r="X98" s="533">
        <f t="shared" si="64"/>
        <v>2035</v>
      </c>
      <c r="Y98" s="534" t="s">
        <v>378</v>
      </c>
      <c r="AA98" s="530"/>
      <c r="AB98" s="530"/>
      <c r="AC98" s="530"/>
      <c r="AD98" s="530"/>
      <c r="AE98" s="530"/>
      <c r="AF98" s="530"/>
      <c r="AG98" s="530"/>
      <c r="AH98" s="530"/>
      <c r="AI98" s="530"/>
      <c r="AJ98" s="530"/>
      <c r="AK98" s="530"/>
      <c r="AL98" s="530"/>
      <c r="AM98" s="530"/>
      <c r="AN98" s="530"/>
      <c r="AO98" s="530"/>
      <c r="AP98" s="530"/>
      <c r="AQ98" s="530"/>
      <c r="AR98" s="530"/>
      <c r="AS98" s="530"/>
      <c r="AT98" s="530"/>
      <c r="AU98" s="530"/>
      <c r="AV98" s="530"/>
      <c r="AW98" s="530"/>
      <c r="AX98" s="530"/>
      <c r="AY98" s="530"/>
      <c r="AZ98" s="530"/>
      <c r="BA98" s="530"/>
      <c r="BB98" s="530"/>
      <c r="BC98" s="530"/>
      <c r="BD98" s="530"/>
      <c r="BE98" s="530"/>
      <c r="BF98" s="530"/>
      <c r="BG98" s="530"/>
      <c r="BH98" s="530"/>
      <c r="BI98" s="530"/>
      <c r="BJ98" s="530"/>
      <c r="BK98" s="530"/>
      <c r="BL98" s="530"/>
      <c r="BM98" s="530"/>
      <c r="BN98" s="530"/>
      <c r="BO98" s="530"/>
      <c r="BP98" s="530"/>
      <c r="BQ98" s="530"/>
      <c r="BR98" s="530"/>
      <c r="BS98" s="530"/>
      <c r="BT98" s="530"/>
      <c r="BU98" s="530"/>
      <c r="BV98" s="530"/>
      <c r="BW98" s="530"/>
      <c r="BX98" s="530"/>
      <c r="BY98" s="530"/>
      <c r="BZ98" s="530"/>
      <c r="CA98" s="530"/>
      <c r="CB98" s="530"/>
    </row>
    <row r="99" spans="1:80" ht="15">
      <c r="A99" s="540" t="s">
        <v>385</v>
      </c>
      <c r="B99" s="540" t="s">
        <v>386</v>
      </c>
      <c r="C99" s="540" t="s">
        <v>387</v>
      </c>
      <c r="D99" s="540" t="s">
        <v>388</v>
      </c>
      <c r="E99" s="536" t="str">
        <f>CONCATENATE("Units_",E$11)</f>
        <v>Units_2016</v>
      </c>
      <c r="F99" s="544" t="str">
        <f t="shared" ref="F99:X99" si="65">CONCATENATE("Units_",F$11)</f>
        <v>Units_2017</v>
      </c>
      <c r="G99" s="544" t="str">
        <f t="shared" si="65"/>
        <v>Units_2018</v>
      </c>
      <c r="H99" s="544" t="str">
        <f t="shared" si="65"/>
        <v>Units_2019</v>
      </c>
      <c r="I99" s="544" t="str">
        <f t="shared" si="65"/>
        <v>Units_2020</v>
      </c>
      <c r="J99" s="544" t="str">
        <f t="shared" si="65"/>
        <v>Units_2021</v>
      </c>
      <c r="K99" s="544" t="str">
        <f t="shared" si="65"/>
        <v>Units_2022</v>
      </c>
      <c r="L99" s="544" t="str">
        <f t="shared" si="65"/>
        <v>Units_2023</v>
      </c>
      <c r="M99" s="544" t="str">
        <f t="shared" si="65"/>
        <v>Units_2024</v>
      </c>
      <c r="N99" s="544" t="str">
        <f t="shared" si="65"/>
        <v>Units_2025</v>
      </c>
      <c r="O99" s="544" t="str">
        <f t="shared" si="65"/>
        <v>Units_2026</v>
      </c>
      <c r="P99" s="544" t="str">
        <f t="shared" si="65"/>
        <v>Units_2027</v>
      </c>
      <c r="Q99" s="544" t="str">
        <f t="shared" si="65"/>
        <v>Units_2028</v>
      </c>
      <c r="R99" s="544" t="str">
        <f t="shared" si="65"/>
        <v>Units_2029</v>
      </c>
      <c r="S99" s="544" t="str">
        <f t="shared" si="65"/>
        <v>Units_2030</v>
      </c>
      <c r="T99" s="544" t="str">
        <f t="shared" si="65"/>
        <v>Units_2031</v>
      </c>
      <c r="U99" s="544" t="str">
        <f t="shared" si="65"/>
        <v>Units_2032</v>
      </c>
      <c r="V99" s="544" t="str">
        <f t="shared" si="65"/>
        <v>Units_2033</v>
      </c>
      <c r="W99" s="544" t="str">
        <f t="shared" si="65"/>
        <v>Units_2034</v>
      </c>
      <c r="X99" s="544" t="str">
        <f t="shared" si="65"/>
        <v>Units_2035</v>
      </c>
      <c r="Y99" s="537" t="s">
        <v>378</v>
      </c>
      <c r="AA99" s="530"/>
      <c r="AB99" s="530"/>
      <c r="AC99" s="530"/>
      <c r="AD99" s="530"/>
      <c r="AE99" s="530"/>
      <c r="AF99" s="530"/>
      <c r="AG99" s="530"/>
      <c r="AH99" s="530"/>
      <c r="AI99" s="530"/>
      <c r="AJ99" s="530"/>
      <c r="AK99" s="530"/>
      <c r="AL99" s="530"/>
      <c r="AM99" s="530"/>
      <c r="AN99" s="530"/>
      <c r="AO99" s="530"/>
      <c r="AP99" s="530"/>
      <c r="AQ99" s="530"/>
      <c r="AR99" s="530"/>
      <c r="AS99" s="530"/>
      <c r="AT99" s="530"/>
      <c r="AU99" s="530"/>
      <c r="AV99" s="530"/>
      <c r="AW99" s="530"/>
      <c r="AX99" s="530"/>
      <c r="AY99" s="530"/>
      <c r="AZ99" s="530"/>
      <c r="BA99" s="530"/>
      <c r="BB99" s="530"/>
      <c r="BC99" s="530"/>
      <c r="BD99" s="530"/>
      <c r="BE99" s="530"/>
      <c r="BF99" s="530"/>
      <c r="BG99" s="530"/>
      <c r="BH99" s="530"/>
      <c r="BI99" s="530"/>
      <c r="BJ99" s="530"/>
      <c r="BK99" s="530"/>
      <c r="BL99" s="530"/>
      <c r="BM99" s="530"/>
      <c r="BN99" s="530"/>
      <c r="BO99" s="530"/>
      <c r="BP99" s="530"/>
      <c r="BQ99" s="530"/>
      <c r="BR99" s="530"/>
      <c r="BS99" s="530"/>
      <c r="BT99" s="530"/>
      <c r="BU99" s="530"/>
      <c r="BV99" s="530"/>
      <c r="BW99" s="530"/>
      <c r="BX99" s="530"/>
      <c r="BY99" s="530"/>
      <c r="BZ99" s="530"/>
      <c r="CA99" s="530"/>
      <c r="CB99" s="530"/>
    </row>
    <row r="100" spans="1:80">
      <c r="A100" s="542">
        <f t="shared" ref="A100:A127" si="66">VLOOKUP(CONCATENATE($C100," - ",$D100),MeasureOutput,3,FALSE)</f>
        <v>7.4915370557043142</v>
      </c>
      <c r="B100" s="542">
        <f t="shared" ref="B100:B127" si="67">VLOOKUP(CONCATENATE($C100," - ",$D100),MeasureOutput,11,FALSE)</f>
        <v>-5.4739757676741085</v>
      </c>
      <c r="C100" t="str">
        <f>C62</f>
        <v>VSD - Vacuum Pump</v>
      </c>
      <c r="D100" t="str">
        <f>D62</f>
        <v>Idaho FreeStall</v>
      </c>
      <c r="E100" s="546">
        <f ca="1">VLOOKUP($C100&amp;$D100,$B$62:$Y$89,E$26+1,FALSE)*$C$98*$A100/8760/1000</f>
        <v>1.045670638653138E-3</v>
      </c>
      <c r="F100" s="546">
        <f t="shared" ref="F100:X113" ca="1" si="68">VLOOKUP($C100&amp;$D100,$B$62:$Y$89,F$26+1,FALSE)*$C$98*$A100/8760/1000</f>
        <v>1.3044395884045969E-3</v>
      </c>
      <c r="G100" s="546">
        <f t="shared" ca="1" si="68"/>
        <v>1.6174228601979577E-3</v>
      </c>
      <c r="H100" s="546">
        <f t="shared" ca="1" si="68"/>
        <v>1.9107073479104233E-3</v>
      </c>
      <c r="I100" s="546">
        <f t="shared" ca="1" si="68"/>
        <v>2.2178599700510473E-3</v>
      </c>
      <c r="J100" s="546">
        <f t="shared" ca="1" si="68"/>
        <v>2.6422109304421065E-3</v>
      </c>
      <c r="K100" s="546">
        <f t="shared" ca="1" si="68"/>
        <v>2.9512017665508498E-3</v>
      </c>
      <c r="L100" s="546">
        <f t="shared" ca="1" si="68"/>
        <v>3.0764286052888594E-3</v>
      </c>
      <c r="M100" s="546">
        <f t="shared" ca="1" si="68"/>
        <v>2.9616687725651063E-3</v>
      </c>
      <c r="N100" s="546">
        <f t="shared" ca="1" si="68"/>
        <v>2.6029298405520237E-3</v>
      </c>
      <c r="O100" s="546">
        <f t="shared" ca="1" si="68"/>
        <v>2.0669170899390321E-3</v>
      </c>
      <c r="P100" s="546">
        <f t="shared" ca="1" si="68"/>
        <v>1.4501653686133506E-3</v>
      </c>
      <c r="Q100" s="546">
        <f t="shared" ca="1" si="68"/>
        <v>8.8819217776774594E-4</v>
      </c>
      <c r="R100" s="546">
        <f t="shared" ca="1" si="68"/>
        <v>4.6346247135560205E-4</v>
      </c>
      <c r="S100" s="546">
        <f t="shared" ca="1" si="68"/>
        <v>2.0275052922643597E-4</v>
      </c>
      <c r="T100" s="546">
        <f t="shared" ca="1" si="68"/>
        <v>7.2671406770966908E-5</v>
      </c>
      <c r="U100" s="546">
        <f t="shared" ca="1" si="68"/>
        <v>2.0760022454708074E-5</v>
      </c>
      <c r="V100" s="546">
        <f t="shared" ca="1" si="68"/>
        <v>4.6003634557025225E-6</v>
      </c>
      <c r="W100" s="546">
        <f t="shared" ca="1" si="68"/>
        <v>7.7027491093252695E-7</v>
      </c>
      <c r="X100" s="546">
        <f t="shared" ca="1" si="68"/>
        <v>9.3612200157866324E-8</v>
      </c>
      <c r="Y100" s="546">
        <f ca="1">VLOOKUP(CONCATENATE($C100," - ",$D100),$Z$27:$AA$54,2,FALSE)*$C$98*$A100/8760/1000</f>
        <v>3.4846211623119711E-2</v>
      </c>
      <c r="AA100" s="18">
        <f ca="1">SUM(E100:X100)</f>
        <v>2.7500923637310742E-2</v>
      </c>
      <c r="AB100" s="530"/>
      <c r="AC100" s="530"/>
      <c r="AD100" s="530"/>
      <c r="AE100" s="530"/>
      <c r="AF100" s="530"/>
      <c r="AG100" s="530"/>
      <c r="AH100" s="530"/>
      <c r="AI100" s="530"/>
      <c r="AJ100" s="530"/>
      <c r="AK100" s="530"/>
      <c r="AL100" s="530"/>
      <c r="AM100" s="530"/>
      <c r="AN100" s="530"/>
      <c r="AO100" s="530"/>
      <c r="AP100" s="530"/>
      <c r="AQ100" s="530"/>
      <c r="AR100" s="530"/>
      <c r="AS100" s="530"/>
      <c r="AT100" s="530"/>
      <c r="AU100" s="530"/>
      <c r="AV100" s="530"/>
      <c r="AW100" s="530"/>
      <c r="AX100" s="530"/>
      <c r="AY100" s="530"/>
      <c r="AZ100" s="530"/>
      <c r="BA100" s="530"/>
      <c r="BB100" s="530"/>
      <c r="BC100" s="530"/>
      <c r="BD100" s="530"/>
      <c r="BE100" s="530"/>
      <c r="BF100" s="530"/>
      <c r="BG100" s="530"/>
      <c r="BH100" s="530"/>
      <c r="BI100" s="530"/>
      <c r="BJ100" s="530"/>
      <c r="BK100" s="530"/>
      <c r="BL100" s="530"/>
      <c r="BM100" s="530"/>
      <c r="BN100" s="530"/>
      <c r="BO100" s="530"/>
      <c r="BP100" s="530"/>
      <c r="BQ100" s="530"/>
      <c r="BR100" s="530"/>
      <c r="BS100" s="530"/>
      <c r="BT100" s="530"/>
      <c r="BU100" s="530"/>
      <c r="BV100" s="530"/>
      <c r="BW100" s="530"/>
      <c r="BX100" s="530"/>
      <c r="BY100" s="530"/>
      <c r="BZ100" s="530"/>
      <c r="CA100" s="530"/>
      <c r="CB100" s="530"/>
    </row>
    <row r="101" spans="1:80">
      <c r="A101" s="542">
        <f t="shared" si="66"/>
        <v>4.1447481480335853</v>
      </c>
      <c r="B101" s="542">
        <f t="shared" si="67"/>
        <v>-5.4748497277739405</v>
      </c>
      <c r="C101" t="str">
        <f t="shared" ref="C101:C127" si="69">C63</f>
        <v>Plate Milk Pre-cooler</v>
      </c>
      <c r="D101" t="str">
        <f t="shared" ref="D101:D127" si="70">D63</f>
        <v>Idaho FreeStall</v>
      </c>
      <c r="E101" s="546">
        <f t="shared" ref="E101:T127" ca="1" si="71">VLOOKUP($C101&amp;$D101,$B$62:$Y$89,E$26+1,FALSE)*$C$98*$A101/8760/1000</f>
        <v>1.0991974918485043E-2</v>
      </c>
      <c r="F101" s="546">
        <f t="shared" ca="1" si="71"/>
        <v>1.3712125700393214E-2</v>
      </c>
      <c r="G101" s="546">
        <f t="shared" ca="1" si="71"/>
        <v>1.7002171481815605E-2</v>
      </c>
      <c r="H101" s="546">
        <f t="shared" ca="1" si="71"/>
        <v>2.0085145808290426E-2</v>
      </c>
      <c r="I101" s="546">
        <f t="shared" ca="1" si="71"/>
        <v>2.3313900440882326E-2</v>
      </c>
      <c r="J101" s="546">
        <f t="shared" ca="1" si="71"/>
        <v>2.7774631134498767E-2</v>
      </c>
      <c r="K101" s="546">
        <f t="shared" ca="1" si="71"/>
        <v>3.1022708870451787E-2</v>
      </c>
      <c r="L101" s="546">
        <f t="shared" ca="1" si="71"/>
        <v>3.2339079646915736E-2</v>
      </c>
      <c r="M101" s="546">
        <f t="shared" ca="1" si="71"/>
        <v>3.1132736888192181E-2</v>
      </c>
      <c r="N101" s="546">
        <f t="shared" ca="1" si="71"/>
        <v>2.7361712631404252E-2</v>
      </c>
      <c r="O101" s="546">
        <f t="shared" ca="1" si="71"/>
        <v>2.1727205461617893E-2</v>
      </c>
      <c r="P101" s="546">
        <f t="shared" ca="1" si="71"/>
        <v>1.5243979098413917E-2</v>
      </c>
      <c r="Q101" s="546">
        <f t="shared" ca="1" si="71"/>
        <v>9.3365786318651504E-3</v>
      </c>
      <c r="R101" s="546">
        <f t="shared" ca="1" si="71"/>
        <v>4.8718666016687668E-3</v>
      </c>
      <c r="S101" s="546">
        <f t="shared" ca="1" si="71"/>
        <v>2.1312912972646036E-3</v>
      </c>
      <c r="T101" s="546">
        <f t="shared" ca="1" si="71"/>
        <v>7.6391384723815026E-4</v>
      </c>
      <c r="U101" s="546">
        <f t="shared" ca="1" si="68"/>
        <v>2.1822707618840585E-4</v>
      </c>
      <c r="V101" s="546">
        <f t="shared" ca="1" si="68"/>
        <v>4.8358515436686212E-5</v>
      </c>
      <c r="W101" s="546">
        <f t="shared" ca="1" si="68"/>
        <v>8.0970452725097441E-6</v>
      </c>
      <c r="X101" s="546">
        <f t="shared" ca="1" si="68"/>
        <v>9.8404116761357665E-7</v>
      </c>
      <c r="Y101" s="546">
        <f t="shared" ref="Y101:Y127" ca="1" si="72">VLOOKUP(CONCATENATE($C101," - ",$D101),$Z$27:$AA$54,2,FALSE)*$C$98*$A101/8760/1000</f>
        <v>0.36629954978836249</v>
      </c>
      <c r="AA101" s="18">
        <f t="shared" ref="AA101:AA103" ca="1" si="73">SUM(E101:X101)</f>
        <v>0.28908668913746299</v>
      </c>
      <c r="AB101" s="530"/>
      <c r="AC101" s="530"/>
      <c r="AD101" s="530"/>
      <c r="AE101" s="530"/>
      <c r="AF101" s="530"/>
      <c r="AG101" s="530"/>
      <c r="AH101" s="530"/>
      <c r="AI101" s="530"/>
      <c r="AJ101" s="530"/>
      <c r="AK101" s="530"/>
      <c r="AL101" s="530"/>
      <c r="AM101" s="530"/>
      <c r="AN101" s="530"/>
      <c r="AO101" s="530"/>
      <c r="AP101" s="530"/>
      <c r="AQ101" s="530"/>
      <c r="AR101" s="530"/>
      <c r="AS101" s="530"/>
      <c r="AT101" s="530"/>
      <c r="AU101" s="530"/>
      <c r="AV101" s="530"/>
      <c r="AW101" s="530"/>
      <c r="AX101" s="530"/>
      <c r="AY101" s="530"/>
      <c r="AZ101" s="530"/>
      <c r="BA101" s="530"/>
      <c r="BB101" s="530"/>
      <c r="BC101" s="530"/>
      <c r="BD101" s="530"/>
      <c r="BE101" s="530"/>
      <c r="BF101" s="530"/>
      <c r="BG101" s="530"/>
      <c r="BH101" s="530"/>
      <c r="BI101" s="530"/>
      <c r="BJ101" s="530"/>
      <c r="BK101" s="530"/>
      <c r="BL101" s="530"/>
      <c r="BM101" s="530"/>
      <c r="BN101" s="530"/>
      <c r="BO101" s="530"/>
      <c r="BP101" s="530"/>
      <c r="BQ101" s="530"/>
      <c r="BR101" s="530"/>
      <c r="BS101" s="530"/>
      <c r="BT101" s="530"/>
      <c r="BU101" s="530"/>
      <c r="BV101" s="530"/>
      <c r="BW101" s="530"/>
      <c r="BX101" s="530"/>
      <c r="BY101" s="530"/>
      <c r="BZ101" s="530"/>
      <c r="CA101" s="530"/>
      <c r="CB101" s="530"/>
    </row>
    <row r="102" spans="1:80">
      <c r="A102" s="542">
        <f t="shared" si="66"/>
        <v>0.56446323784331998</v>
      </c>
      <c r="B102" s="542">
        <f t="shared" si="67"/>
        <v>4.7413092438539524</v>
      </c>
      <c r="C102" t="str">
        <f t="shared" si="69"/>
        <v>Energy Efficient Lighting</v>
      </c>
      <c r="D102" t="str">
        <f t="shared" si="70"/>
        <v>Idaho FreeStall</v>
      </c>
      <c r="E102" s="546">
        <f t="shared" ca="1" si="71"/>
        <v>7.1212454543739109E-3</v>
      </c>
      <c r="F102" s="546">
        <f t="shared" ca="1" si="68"/>
        <v>8.8835185249119021E-3</v>
      </c>
      <c r="G102" s="546">
        <f t="shared" ca="1" si="68"/>
        <v>1.1015002970553755E-2</v>
      </c>
      <c r="H102" s="546">
        <f t="shared" ca="1" si="68"/>
        <v>1.3012334393812332E-2</v>
      </c>
      <c r="I102" s="546">
        <f t="shared" ca="1" si="68"/>
        <v>1.5104110841734091E-2</v>
      </c>
      <c r="J102" s="546">
        <f t="shared" ca="1" si="68"/>
        <v>1.7994033572696841E-2</v>
      </c>
      <c r="K102" s="546">
        <f t="shared" ca="1" si="68"/>
        <v>2.0098328659261363E-2</v>
      </c>
      <c r="L102" s="546">
        <f t="shared" ca="1" si="68"/>
        <v>2.0951150784282783E-2</v>
      </c>
      <c r="M102" s="546">
        <f t="shared" ca="1" si="68"/>
        <v>2.0169611256519646E-2</v>
      </c>
      <c r="N102" s="546">
        <f t="shared" ca="1" si="68"/>
        <v>1.7726520770402893E-2</v>
      </c>
      <c r="O102" s="546">
        <f t="shared" ca="1" si="68"/>
        <v>1.4076156857817795E-2</v>
      </c>
      <c r="P102" s="546">
        <f t="shared" ca="1" si="68"/>
        <v>9.8759429189193074E-3</v>
      </c>
      <c r="Q102" s="546">
        <f t="shared" ca="1" si="68"/>
        <v>6.0487827378283279E-3</v>
      </c>
      <c r="R102" s="546">
        <f t="shared" ca="1" si="68"/>
        <v>3.156280663732755E-3</v>
      </c>
      <c r="S102" s="546">
        <f t="shared" ca="1" si="68"/>
        <v>1.3807753906960379E-3</v>
      </c>
      <c r="T102" s="546">
        <f t="shared" ca="1" si="68"/>
        <v>4.9490815367760391E-4</v>
      </c>
      <c r="U102" s="546">
        <f t="shared" ca="1" si="68"/>
        <v>1.4138028751453695E-4</v>
      </c>
      <c r="V102" s="546">
        <f t="shared" ca="1" si="68"/>
        <v>3.1329479987681319E-5</v>
      </c>
      <c r="W102" s="546">
        <f t="shared" ca="1" si="68"/>
        <v>5.245740394089878E-6</v>
      </c>
      <c r="X102" s="546">
        <f t="shared" ca="1" si="68"/>
        <v>6.3751953072603932E-7</v>
      </c>
      <c r="Y102" s="546">
        <f t="shared" ca="1" si="72"/>
        <v>0.23731031258840435</v>
      </c>
      <c r="AA102" s="18">
        <f t="shared" ca="1" si="73"/>
        <v>0.18728729697864838</v>
      </c>
      <c r="AB102" s="530"/>
      <c r="AC102" t="s">
        <v>137</v>
      </c>
      <c r="AD102" s="628">
        <f ca="1">SUMIF($C$100:$C$127,AC102,$AA$100:$AA$127)</f>
        <v>8.3404479185890848E-2</v>
      </c>
      <c r="AE102" s="530"/>
      <c r="AF102" s="530"/>
      <c r="AG102" s="530"/>
      <c r="AH102" s="530"/>
      <c r="AI102" s="530"/>
      <c r="AJ102" s="530"/>
      <c r="AK102" s="530"/>
      <c r="AL102" s="530"/>
      <c r="AM102" s="530"/>
      <c r="AN102" s="530"/>
      <c r="AO102" s="530"/>
      <c r="AP102" s="530"/>
      <c r="AQ102" s="530"/>
      <c r="AR102" s="530"/>
      <c r="AS102" s="530"/>
      <c r="AT102" s="530"/>
      <c r="AU102" s="530"/>
      <c r="AV102" s="530"/>
      <c r="AW102" s="530"/>
      <c r="AX102" s="530"/>
      <c r="AY102" s="530"/>
      <c r="AZ102" s="530"/>
      <c r="BA102" s="530"/>
      <c r="BB102" s="530"/>
      <c r="BC102" s="530"/>
      <c r="BD102" s="530"/>
      <c r="BE102" s="530"/>
      <c r="BF102" s="530"/>
      <c r="BG102" s="530"/>
      <c r="BH102" s="530"/>
      <c r="BI102" s="530"/>
      <c r="BJ102" s="530"/>
      <c r="BK102" s="530"/>
      <c r="BL102" s="530"/>
      <c r="BM102" s="530"/>
      <c r="BN102" s="530"/>
      <c r="BO102" s="530"/>
      <c r="BP102" s="530"/>
      <c r="BQ102" s="530"/>
      <c r="BR102" s="530"/>
      <c r="BS102" s="530"/>
      <c r="BT102" s="530"/>
      <c r="BU102" s="530"/>
      <c r="BV102" s="530"/>
      <c r="BW102" s="530"/>
      <c r="BX102" s="530"/>
      <c r="BY102" s="530"/>
      <c r="BZ102" s="530"/>
      <c r="CA102" s="530"/>
      <c r="CB102" s="530"/>
    </row>
    <row r="103" spans="1:80">
      <c r="A103" s="542">
        <f t="shared" si="66"/>
        <v>5.2516901160200797</v>
      </c>
      <c r="B103" s="542">
        <f t="shared" si="67"/>
        <v>-6.6853843794400083</v>
      </c>
      <c r="C103" t="str">
        <f t="shared" si="69"/>
        <v>VSD - Vacuum Pump</v>
      </c>
      <c r="D103" t="str">
        <f t="shared" si="70"/>
        <v>Idaho TieStall</v>
      </c>
      <c r="E103" s="546">
        <f t="shared" si="71"/>
        <v>8.7050601475446398E-4</v>
      </c>
      <c r="F103" s="546">
        <f t="shared" si="68"/>
        <v>1.068842556205337E-3</v>
      </c>
      <c r="G103" s="546">
        <f t="shared" si="68"/>
        <v>1.307950500121132E-3</v>
      </c>
      <c r="H103" s="546">
        <f t="shared" si="68"/>
        <v>1.5183244443391813E-3</v>
      </c>
      <c r="I103" s="546">
        <f t="shared" si="68"/>
        <v>1.7318412986537276E-3</v>
      </c>
      <c r="J103" s="546">
        <f t="shared" si="68"/>
        <v>2.0247306504362927E-3</v>
      </c>
      <c r="K103" s="546">
        <f t="shared" si="68"/>
        <v>2.2211609665993802E-3</v>
      </c>
      <c r="L103" s="546">
        <f t="shared" si="68"/>
        <v>2.2690728234129732E-3</v>
      </c>
      <c r="M103" s="546">
        <f t="shared" si="68"/>
        <v>2.1383288225918238E-3</v>
      </c>
      <c r="N103" s="546">
        <f t="shared" si="68"/>
        <v>1.8380747457478368E-3</v>
      </c>
      <c r="O103" s="546">
        <f t="shared" si="68"/>
        <v>1.4223798422573312E-3</v>
      </c>
      <c r="P103" s="546">
        <f t="shared" si="68"/>
        <v>9.7614820358378409E-4</v>
      </c>
      <c r="Q103" s="546">
        <f t="shared" si="68"/>
        <v>5.8413452984141059E-4</v>
      </c>
      <c r="R103" s="546">
        <f t="shared" si="68"/>
        <v>2.9908896113525036E-4</v>
      </c>
      <c r="S103" s="546">
        <f t="shared" si="68"/>
        <v>1.283193556319729E-4</v>
      </c>
      <c r="T103" s="546">
        <f t="shared" si="68"/>
        <v>4.5081233463740708E-5</v>
      </c>
      <c r="U103" s="546">
        <f t="shared" si="68"/>
        <v>1.2646833245876306E-5</v>
      </c>
      <c r="V103" s="546">
        <f t="shared" si="68"/>
        <v>2.7564354095055512E-6</v>
      </c>
      <c r="W103" s="546">
        <f t="shared" si="68"/>
        <v>4.5308090218012232E-7</v>
      </c>
      <c r="X103" s="546">
        <f t="shared" si="68"/>
        <v>5.4385134057158356E-8</v>
      </c>
      <c r="Y103" s="546">
        <f t="shared" si="72"/>
        <v>2.0244325924522421E-2</v>
      </c>
      <c r="AA103" s="18">
        <f t="shared" si="73"/>
        <v>2.0459895683467261E-2</v>
      </c>
      <c r="AB103" s="530"/>
      <c r="AC103" t="s">
        <v>138</v>
      </c>
      <c r="AD103" s="628">
        <f t="shared" ref="AD103:AD105" ca="1" si="74">SUMIF($C$100:$C$127,AC103,$AA$100:$AA$127)</f>
        <v>0.58494290192787624</v>
      </c>
      <c r="AE103" s="530"/>
      <c r="AF103" s="530"/>
      <c r="AG103" s="530"/>
      <c r="AH103" s="530"/>
      <c r="AI103" s="530"/>
      <c r="AJ103" s="530"/>
      <c r="AK103" s="530"/>
      <c r="AL103" s="530"/>
      <c r="AM103" s="530"/>
      <c r="AN103" s="530"/>
      <c r="AO103" s="530"/>
      <c r="AP103" s="530"/>
      <c r="AQ103" s="530"/>
      <c r="AR103" s="530"/>
      <c r="AS103" s="530"/>
      <c r="AT103" s="530"/>
      <c r="AU103" s="530"/>
      <c r="AV103" s="530"/>
      <c r="AW103" s="530"/>
      <c r="AX103" s="530"/>
      <c r="AY103" s="530"/>
      <c r="AZ103" s="530"/>
      <c r="BA103" s="530"/>
      <c r="BB103" s="530"/>
      <c r="BC103" s="530"/>
      <c r="BD103" s="530"/>
      <c r="BE103" s="530"/>
      <c r="BF103" s="530"/>
      <c r="BG103" s="530"/>
      <c r="BH103" s="530"/>
      <c r="BI103" s="530"/>
      <c r="BJ103" s="530"/>
      <c r="BK103" s="530"/>
      <c r="BL103" s="530"/>
      <c r="BM103" s="530"/>
      <c r="BN103" s="530"/>
      <c r="BO103" s="530"/>
      <c r="BP103" s="530"/>
      <c r="BQ103" s="530"/>
      <c r="BR103" s="530"/>
      <c r="BS103" s="530"/>
      <c r="BT103" s="530"/>
      <c r="BU103" s="530"/>
      <c r="BV103" s="530"/>
      <c r="BW103" s="530"/>
      <c r="BX103" s="530"/>
      <c r="BY103" s="530"/>
      <c r="BZ103" s="530"/>
      <c r="CA103" s="530"/>
      <c r="CB103" s="530"/>
    </row>
    <row r="104" spans="1:80">
      <c r="A104" s="542">
        <f t="shared" si="66"/>
        <v>5.5575439658943351</v>
      </c>
      <c r="B104" s="542">
        <f t="shared" si="67"/>
        <v>-6.6357268278525448</v>
      </c>
      <c r="C104" t="str">
        <f t="shared" si="69"/>
        <v>Heat Recovery Refrigeration</v>
      </c>
      <c r="D104" t="str">
        <f t="shared" si="70"/>
        <v>Idaho TieStall</v>
      </c>
      <c r="E104" s="546">
        <f t="shared" si="71"/>
        <v>4.8320057120648041E-3</v>
      </c>
      <c r="F104" s="546">
        <f t="shared" si="68"/>
        <v>5.9329323971861175E-3</v>
      </c>
      <c r="G104" s="546">
        <f t="shared" si="68"/>
        <v>7.2601730264505535E-3</v>
      </c>
      <c r="H104" s="546">
        <f t="shared" si="68"/>
        <v>8.4279169396479173E-3</v>
      </c>
      <c r="I104" s="546">
        <f t="shared" si="68"/>
        <v>9.6131065215498881E-3</v>
      </c>
      <c r="J104" s="546">
        <f t="shared" si="68"/>
        <v>1.1238877046771933E-2</v>
      </c>
      <c r="K104" s="546">
        <f t="shared" si="68"/>
        <v>1.2329222654539448E-2</v>
      </c>
      <c r="L104" s="546">
        <f t="shared" si="68"/>
        <v>1.2595171840271627E-2</v>
      </c>
      <c r="M104" s="546">
        <f t="shared" si="68"/>
        <v>1.1869437901530038E-2</v>
      </c>
      <c r="N104" s="546">
        <f t="shared" si="68"/>
        <v>1.02027872526082E-2</v>
      </c>
      <c r="O104" s="546">
        <f t="shared" si="68"/>
        <v>7.8953475404209064E-3</v>
      </c>
      <c r="P104" s="546">
        <f t="shared" si="68"/>
        <v>5.4184044861184059E-3</v>
      </c>
      <c r="Q104" s="546">
        <f t="shared" si="68"/>
        <v>3.2424145691906732E-3</v>
      </c>
      <c r="R104" s="546">
        <f t="shared" si="68"/>
        <v>1.6601833234072406E-3</v>
      </c>
      <c r="S104" s="546">
        <f t="shared" si="68"/>
        <v>7.1227521564805893E-4</v>
      </c>
      <c r="T104" s="546">
        <f t="shared" si="68"/>
        <v>2.5023695863280658E-4</v>
      </c>
      <c r="U104" s="546">
        <f t="shared" si="68"/>
        <v>7.0200055425053014E-5</v>
      </c>
      <c r="V104" s="546">
        <f t="shared" si="68"/>
        <v>1.5300424601230721E-5</v>
      </c>
      <c r="W104" s="546">
        <f t="shared" si="68"/>
        <v>2.5149619534557042E-6</v>
      </c>
      <c r="X104" s="546">
        <f t="shared" si="68"/>
        <v>3.0188105993698618E-7</v>
      </c>
      <c r="Y104" s="546">
        <f t="shared" si="72"/>
        <v>0.11237222586197222</v>
      </c>
      <c r="AA104" s="18">
        <f t="shared" ref="AA104:AA106" si="75">SUM(E104:X104)</f>
        <v>0.11356881070907832</v>
      </c>
      <c r="AB104" s="530"/>
      <c r="AC104" t="s">
        <v>139</v>
      </c>
      <c r="AD104" s="628">
        <f t="shared" ca="1" si="74"/>
        <v>0.32165483746799728</v>
      </c>
      <c r="AE104" s="530"/>
      <c r="AF104" s="530"/>
      <c r="AG104" s="530"/>
      <c r="AH104" s="530"/>
      <c r="AI104" s="530"/>
      <c r="AJ104" s="530"/>
      <c r="AK104" s="530"/>
      <c r="AL104" s="530"/>
      <c r="AM104" s="530"/>
      <c r="AN104" s="530"/>
      <c r="AO104" s="530"/>
      <c r="AP104" s="530"/>
      <c r="AQ104" s="530"/>
      <c r="AR104" s="530"/>
      <c r="AS104" s="530"/>
      <c r="AT104" s="530"/>
      <c r="AU104" s="530"/>
      <c r="AV104" s="530"/>
      <c r="AW104" s="530"/>
      <c r="AX104" s="530"/>
      <c r="AY104" s="530"/>
      <c r="AZ104" s="530"/>
      <c r="BA104" s="530"/>
      <c r="BB104" s="530"/>
      <c r="BC104" s="530"/>
      <c r="BD104" s="530"/>
      <c r="BE104" s="530"/>
      <c r="BF104" s="530"/>
      <c r="BG104" s="530"/>
      <c r="BH104" s="530"/>
      <c r="BI104" s="530"/>
      <c r="BJ104" s="530"/>
      <c r="BK104" s="530"/>
      <c r="BL104" s="530"/>
      <c r="BM104" s="530"/>
      <c r="BN104" s="530"/>
      <c r="BO104" s="530"/>
      <c r="BP104" s="530"/>
      <c r="BQ104" s="530"/>
      <c r="BR104" s="530"/>
      <c r="BS104" s="530"/>
      <c r="BT104" s="530"/>
      <c r="BU104" s="530"/>
      <c r="BV104" s="530"/>
      <c r="BW104" s="530"/>
      <c r="BX104" s="530"/>
      <c r="BY104" s="530"/>
      <c r="BZ104" s="530"/>
      <c r="CA104" s="530"/>
      <c r="CB104" s="530"/>
    </row>
    <row r="105" spans="1:80">
      <c r="A105" s="542">
        <f t="shared" si="66"/>
        <v>4.297103134260384</v>
      </c>
      <c r="B105" s="542">
        <f t="shared" si="67"/>
        <v>-7.6191296344260442</v>
      </c>
      <c r="C105" t="str">
        <f t="shared" si="69"/>
        <v>Plate Milk Pre-Cooler</v>
      </c>
      <c r="D105" t="str">
        <f t="shared" si="70"/>
        <v>Idaho TieStall</v>
      </c>
      <c r="E105" s="546">
        <f t="shared" si="71"/>
        <v>2.3965042652272285E-3</v>
      </c>
      <c r="F105" s="546">
        <f t="shared" si="68"/>
        <v>2.9425250387557175E-3</v>
      </c>
      <c r="G105" s="546">
        <f t="shared" si="68"/>
        <v>3.6007895397833674E-3</v>
      </c>
      <c r="H105" s="546">
        <f t="shared" si="68"/>
        <v>4.1799492998149338E-3</v>
      </c>
      <c r="I105" s="546">
        <f t="shared" si="68"/>
        <v>4.7677614956985435E-3</v>
      </c>
      <c r="J105" s="546">
        <f t="shared" si="68"/>
        <v>5.5740862871298093E-3</v>
      </c>
      <c r="K105" s="546">
        <f t="shared" si="68"/>
        <v>6.1148592197988044E-3</v>
      </c>
      <c r="L105" s="546">
        <f t="shared" si="68"/>
        <v>6.2467606280172411E-3</v>
      </c>
      <c r="M105" s="546">
        <f t="shared" si="68"/>
        <v>5.8868222125323865E-3</v>
      </c>
      <c r="N105" s="546">
        <f t="shared" si="68"/>
        <v>5.060222322798783E-3</v>
      </c>
      <c r="O105" s="546">
        <f t="shared" si="68"/>
        <v>3.9158136772948094E-3</v>
      </c>
      <c r="P105" s="546">
        <f t="shared" si="68"/>
        <v>2.6873373575049607E-3</v>
      </c>
      <c r="Q105" s="546">
        <f t="shared" si="68"/>
        <v>1.6081231703221426E-3</v>
      </c>
      <c r="R105" s="546">
        <f t="shared" si="68"/>
        <v>8.2339232457248547E-4</v>
      </c>
      <c r="S105" s="546">
        <f t="shared" si="68"/>
        <v>3.5326336391825115E-4</v>
      </c>
      <c r="T105" s="546">
        <f t="shared" si="68"/>
        <v>1.2410869821276562E-4</v>
      </c>
      <c r="U105" s="546">
        <f t="shared" si="68"/>
        <v>3.4816749455670172E-5</v>
      </c>
      <c r="V105" s="546">
        <f t="shared" si="68"/>
        <v>7.588470503063279E-6</v>
      </c>
      <c r="W105" s="546">
        <f t="shared" si="68"/>
        <v>1.2473323517172127E-6</v>
      </c>
      <c r="X105" s="546">
        <f t="shared" si="68"/>
        <v>1.4972234944257891E-7</v>
      </c>
      <c r="Y105" s="546">
        <f t="shared" si="72"/>
        <v>5.5732657330865798E-2</v>
      </c>
      <c r="AA105" s="18">
        <f t="shared" si="75"/>
        <v>5.6326121176042118E-2</v>
      </c>
      <c r="AB105" s="530"/>
      <c r="AC105" t="s">
        <v>64</v>
      </c>
      <c r="AD105" s="628">
        <f t="shared" si="74"/>
        <v>0.20875419303604106</v>
      </c>
      <c r="AE105" s="530"/>
      <c r="AF105" s="530"/>
      <c r="AG105" s="530"/>
      <c r="AH105" s="530"/>
      <c r="AI105" s="530"/>
      <c r="AJ105" s="530"/>
      <c r="AK105" s="530"/>
      <c r="AL105" s="530"/>
      <c r="AM105" s="530"/>
      <c r="AN105" s="530"/>
      <c r="AO105" s="530"/>
      <c r="AP105" s="530"/>
      <c r="AQ105" s="530"/>
      <c r="AR105" s="530"/>
      <c r="AS105" s="530"/>
      <c r="AT105" s="530"/>
      <c r="AU105" s="530"/>
      <c r="AV105" s="530"/>
      <c r="AW105" s="530"/>
      <c r="AX105" s="530"/>
      <c r="AY105" s="530"/>
      <c r="AZ105" s="530"/>
      <c r="BA105" s="530"/>
      <c r="BB105" s="530"/>
      <c r="BC105" s="530"/>
      <c r="BD105" s="530"/>
      <c r="BE105" s="530"/>
      <c r="BF105" s="530"/>
      <c r="BG105" s="530"/>
      <c r="BH105" s="530"/>
      <c r="BI105" s="530"/>
      <c r="BJ105" s="530"/>
      <c r="BK105" s="530"/>
      <c r="BL105" s="530"/>
      <c r="BM105" s="530"/>
      <c r="BN105" s="530"/>
      <c r="BO105" s="530"/>
      <c r="BP105" s="530"/>
      <c r="BQ105" s="530"/>
      <c r="BR105" s="530"/>
      <c r="BS105" s="530"/>
      <c r="BT105" s="530"/>
      <c r="BU105" s="530"/>
      <c r="BV105" s="530"/>
      <c r="BW105" s="530"/>
      <c r="BX105" s="530"/>
      <c r="BY105" s="530"/>
      <c r="BZ105" s="530"/>
      <c r="CA105" s="530"/>
      <c r="CB105" s="530"/>
    </row>
    <row r="106" spans="1:80">
      <c r="A106" s="542">
        <f t="shared" si="66"/>
        <v>3.0449198475183858</v>
      </c>
      <c r="B106" s="542">
        <f t="shared" si="67"/>
        <v>3.9511787212703759</v>
      </c>
      <c r="C106" t="str">
        <f t="shared" si="69"/>
        <v>Energy Efficient Lighting</v>
      </c>
      <c r="D106" t="str">
        <f t="shared" si="70"/>
        <v>Idaho TieStall</v>
      </c>
      <c r="E106" s="546">
        <f t="shared" si="71"/>
        <v>2.2615420229051228E-4</v>
      </c>
      <c r="F106" s="546">
        <f t="shared" si="68"/>
        <v>2.7768129292127963E-4</v>
      </c>
      <c r="G106" s="546">
        <f t="shared" si="68"/>
        <v>3.3980064120958951E-4</v>
      </c>
      <c r="H106" s="546">
        <f t="shared" si="68"/>
        <v>3.9445500399507959E-4</v>
      </c>
      <c r="I106" s="546">
        <f t="shared" si="68"/>
        <v>4.4992588305236653E-4</v>
      </c>
      <c r="J106" s="546">
        <f t="shared" si="68"/>
        <v>5.2601743967470012E-4</v>
      </c>
      <c r="K106" s="546">
        <f t="shared" si="68"/>
        <v>5.7704930011516628E-4</v>
      </c>
      <c r="L106" s="546">
        <f t="shared" si="68"/>
        <v>5.8949662106905058E-4</v>
      </c>
      <c r="M106" s="546">
        <f t="shared" si="68"/>
        <v>5.5552981933670712E-4</v>
      </c>
      <c r="N106" s="546">
        <f t="shared" si="68"/>
        <v>4.775249347268299E-4</v>
      </c>
      <c r="O106" s="546">
        <f t="shared" si="68"/>
        <v>3.6952895571955828E-4</v>
      </c>
      <c r="P106" s="546">
        <f t="shared" si="68"/>
        <v>2.535996472822479E-4</v>
      </c>
      <c r="Q106" s="546">
        <f t="shared" si="68"/>
        <v>1.5175596306923764E-4</v>
      </c>
      <c r="R106" s="546">
        <f t="shared" si="68"/>
        <v>7.7702191912504222E-5</v>
      </c>
      <c r="S106" s="546">
        <f t="shared" si="68"/>
        <v>3.3336887993320532E-5</v>
      </c>
      <c r="T106" s="546">
        <f t="shared" si="68"/>
        <v>1.171193560924485E-5</v>
      </c>
      <c r="U106" s="546">
        <f t="shared" si="68"/>
        <v>3.2855999105635363E-6</v>
      </c>
      <c r="V106" s="546">
        <f t="shared" si="68"/>
        <v>7.1611159559636216E-7</v>
      </c>
      <c r="W106" s="546">
        <f t="shared" si="68"/>
        <v>1.1770872144348474E-7</v>
      </c>
      <c r="X106" s="546">
        <f t="shared" si="68"/>
        <v>1.4129054137125533E-8</v>
      </c>
      <c r="Y106" s="546">
        <f t="shared" si="72"/>
        <v>5.2594000532677279E-3</v>
      </c>
      <c r="AA106" s="18">
        <f t="shared" si="75"/>
        <v>5.3154042692591342E-3</v>
      </c>
      <c r="AB106" s="530"/>
      <c r="AC106" s="530"/>
      <c r="AD106" s="530"/>
      <c r="AE106" s="530"/>
      <c r="AF106" s="530"/>
      <c r="AG106" s="530"/>
      <c r="AH106" s="530"/>
      <c r="AI106" s="530"/>
      <c r="AJ106" s="530"/>
      <c r="AK106" s="530"/>
      <c r="AL106" s="530"/>
      <c r="AM106" s="530"/>
      <c r="AN106" s="530"/>
      <c r="AO106" s="530"/>
      <c r="AP106" s="530"/>
      <c r="AQ106" s="530"/>
      <c r="AR106" s="530"/>
      <c r="AS106" s="530"/>
      <c r="AT106" s="530"/>
      <c r="AU106" s="530"/>
      <c r="AV106" s="530"/>
      <c r="AW106" s="530"/>
      <c r="AX106" s="530"/>
      <c r="AY106" s="530"/>
      <c r="AZ106" s="530"/>
      <c r="BA106" s="530"/>
      <c r="BB106" s="530"/>
      <c r="BC106" s="530"/>
      <c r="BD106" s="530"/>
      <c r="BE106" s="530"/>
      <c r="BF106" s="530"/>
      <c r="BG106" s="530"/>
      <c r="BH106" s="530"/>
      <c r="BI106" s="530"/>
      <c r="BJ106" s="530"/>
      <c r="BK106" s="530"/>
      <c r="BL106" s="530"/>
      <c r="BM106" s="530"/>
      <c r="BN106" s="530"/>
      <c r="BO106" s="530"/>
      <c r="BP106" s="530"/>
      <c r="BQ106" s="530"/>
      <c r="BR106" s="530"/>
      <c r="BS106" s="530"/>
      <c r="BT106" s="530"/>
      <c r="BU106" s="530"/>
      <c r="BV106" s="530"/>
      <c r="BW106" s="530"/>
      <c r="BX106" s="530"/>
      <c r="BY106" s="530"/>
      <c r="BZ106" s="530"/>
      <c r="CA106" s="530"/>
      <c r="CB106" s="530"/>
    </row>
    <row r="107" spans="1:80">
      <c r="A107" s="542">
        <f t="shared" si="66"/>
        <v>7.4915370557043142</v>
      </c>
      <c r="B107" s="542">
        <f t="shared" si="67"/>
        <v>-5.4739757676741085</v>
      </c>
      <c r="C107" t="str">
        <f t="shared" si="69"/>
        <v>VSD - Vacuum Pump</v>
      </c>
      <c r="D107" t="str">
        <f t="shared" si="70"/>
        <v>Montana FreeStall</v>
      </c>
      <c r="E107" s="546">
        <f t="shared" ca="1" si="71"/>
        <v>5.98649094374663E-6</v>
      </c>
      <c r="F107" s="546">
        <f t="shared" ca="1" si="68"/>
        <v>7.3651392729898657E-6</v>
      </c>
      <c r="G107" s="546">
        <f t="shared" ca="1" si="68"/>
        <v>9.0129200766723935E-6</v>
      </c>
      <c r="H107" s="546">
        <f t="shared" ca="1" si="68"/>
        <v>1.0478073648132921E-5</v>
      </c>
      <c r="I107" s="546">
        <f t="shared" ca="1" si="68"/>
        <v>1.1944499038759085E-5</v>
      </c>
      <c r="J107" s="546">
        <f t="shared" ca="1" si="68"/>
        <v>1.3956694319304917E-5</v>
      </c>
      <c r="K107" s="546">
        <f t="shared" ca="1" si="68"/>
        <v>1.5330897006663064E-5</v>
      </c>
      <c r="L107" s="546">
        <f t="shared" ca="1" si="68"/>
        <v>1.5676576271586935E-5</v>
      </c>
      <c r="M107" s="546">
        <f t="shared" ca="1" si="68"/>
        <v>1.4737918916581402E-5</v>
      </c>
      <c r="N107" s="546">
        <f t="shared" ca="1" si="68"/>
        <v>1.2666509647135971E-5</v>
      </c>
      <c r="O107" s="546">
        <f t="shared" ca="1" si="68"/>
        <v>9.8019855550729902E-6</v>
      </c>
      <c r="P107" s="546">
        <f t="shared" ca="1" si="68"/>
        <v>6.6849915465012309E-6</v>
      </c>
      <c r="Q107" s="546">
        <f t="shared" ca="1" si="68"/>
        <v>3.9975051977684795E-6</v>
      </c>
      <c r="R107" s="546">
        <f t="shared" ca="1" si="68"/>
        <v>2.0439202633284374E-6</v>
      </c>
      <c r="S107" s="546">
        <f t="shared" ca="1" si="68"/>
        <v>8.749881925700872E-7</v>
      </c>
      <c r="T107" s="546">
        <f t="shared" ca="1" si="68"/>
        <v>3.0659099086015104E-7</v>
      </c>
      <c r="U107" s="546">
        <f t="shared" ca="1" si="68"/>
        <v>8.6008905399547743E-8</v>
      </c>
      <c r="V107" s="546">
        <f t="shared" ca="1" si="68"/>
        <v>1.8674294094712051E-8</v>
      </c>
      <c r="W107" s="546">
        <f t="shared" ca="1" si="68"/>
        <v>3.0580936775641487E-9</v>
      </c>
      <c r="X107" s="546">
        <f t="shared" ca="1" si="68"/>
        <v>3.6709042721283853E-10</v>
      </c>
      <c r="Y107" s="546">
        <f t="shared" ca="1" si="72"/>
        <v>1.3664576508092132E-4</v>
      </c>
      <c r="AA107" s="18">
        <f ca="1">SUM(E107:X107)</f>
        <v>1.4097380927127358E-4</v>
      </c>
      <c r="AB107" s="530"/>
      <c r="AC107" s="530"/>
      <c r="AD107" s="530"/>
      <c r="AE107" s="530"/>
      <c r="AF107" s="530"/>
      <c r="AG107" s="530"/>
      <c r="AH107" s="530"/>
      <c r="AI107" s="530"/>
      <c r="AJ107" s="530"/>
      <c r="AK107" s="530"/>
      <c r="AL107" s="530"/>
      <c r="AM107" s="530"/>
      <c r="AN107" s="530"/>
      <c r="AO107" s="530"/>
      <c r="AP107" s="530"/>
      <c r="AQ107" s="530"/>
      <c r="AR107" s="530"/>
      <c r="AS107" s="530"/>
      <c r="AT107" s="530"/>
      <c r="AU107" s="530"/>
      <c r="AV107" s="530"/>
      <c r="AW107" s="530"/>
      <c r="AX107" s="530"/>
      <c r="AY107" s="530"/>
      <c r="AZ107" s="530"/>
      <c r="BA107" s="530"/>
      <c r="BB107" s="530"/>
      <c r="BC107" s="530"/>
      <c r="BD107" s="530"/>
      <c r="BE107" s="530"/>
      <c r="BF107" s="530"/>
      <c r="BG107" s="530"/>
      <c r="BH107" s="530"/>
      <c r="BI107" s="530"/>
      <c r="BJ107" s="530"/>
      <c r="BK107" s="530"/>
      <c r="BL107" s="530"/>
      <c r="BM107" s="530"/>
      <c r="BN107" s="530"/>
      <c r="BO107" s="530"/>
      <c r="BP107" s="530"/>
      <c r="BQ107" s="530"/>
      <c r="BR107" s="530"/>
      <c r="BS107" s="530"/>
      <c r="BT107" s="530"/>
      <c r="BU107" s="530"/>
      <c r="BV107" s="530"/>
      <c r="BW107" s="530"/>
      <c r="BX107" s="530"/>
      <c r="BY107" s="530"/>
      <c r="BZ107" s="530"/>
      <c r="CA107" s="530"/>
      <c r="CB107" s="530"/>
    </row>
    <row r="108" spans="1:80">
      <c r="A108" s="542">
        <f t="shared" si="66"/>
        <v>4.1447481480335853</v>
      </c>
      <c r="B108" s="542">
        <f t="shared" si="67"/>
        <v>-5.4748497277739405</v>
      </c>
      <c r="C108" t="str">
        <f t="shared" si="69"/>
        <v>Plate Milk Pre-cooler</v>
      </c>
      <c r="D108" t="str">
        <f t="shared" si="70"/>
        <v>Montana FreeStall</v>
      </c>
      <c r="E108" s="546">
        <f t="shared" ca="1" si="71"/>
        <v>6.2929335367164886E-5</v>
      </c>
      <c r="F108" s="546">
        <f t="shared" ca="1" si="68"/>
        <v>7.742153520168633E-5</v>
      </c>
      <c r="G108" s="546">
        <f t="shared" ca="1" si="68"/>
        <v>9.4742826051517304E-5</v>
      </c>
      <c r="H108" s="546">
        <f t="shared" ca="1" si="68"/>
        <v>1.1014435949226364E-4</v>
      </c>
      <c r="I108" s="546">
        <f t="shared" ca="1" si="68"/>
        <v>1.2555926215640858E-4</v>
      </c>
      <c r="J108" s="546">
        <f t="shared" ca="1" si="68"/>
        <v>1.4671123796720749E-4</v>
      </c>
      <c r="K108" s="546">
        <f t="shared" ca="1" si="68"/>
        <v>1.6115670570245112E-4</v>
      </c>
      <c r="L108" s="546">
        <f t="shared" ca="1" si="68"/>
        <v>1.6479044817300351E-4</v>
      </c>
      <c r="M108" s="546">
        <f t="shared" ca="1" si="68"/>
        <v>1.5492338514007574E-4</v>
      </c>
      <c r="N108" s="546">
        <f t="shared" ca="1" si="68"/>
        <v>1.3314895838081552E-4</v>
      </c>
      <c r="O108" s="546">
        <f t="shared" ca="1" si="68"/>
        <v>1.030373957056805E-4</v>
      </c>
      <c r="P108" s="546">
        <f t="shared" ca="1" si="68"/>
        <v>7.0271896994327589E-5</v>
      </c>
      <c r="Q108" s="546">
        <f t="shared" ca="1" si="68"/>
        <v>4.2021335634881802E-5</v>
      </c>
      <c r="R108" s="546">
        <f t="shared" ca="1" si="68"/>
        <v>2.1485465345787547E-5</v>
      </c>
      <c r="S108" s="546">
        <f t="shared" ca="1" si="68"/>
        <v>9.1977797895225385E-6</v>
      </c>
      <c r="T108" s="546">
        <f t="shared" ca="1" si="68"/>
        <v>3.2228508262496424E-6</v>
      </c>
      <c r="U108" s="546">
        <f t="shared" ca="1" si="68"/>
        <v>9.0411616810423338E-7</v>
      </c>
      <c r="V108" s="546">
        <f t="shared" ca="1" si="68"/>
        <v>1.9630212872179343E-7</v>
      </c>
      <c r="W108" s="546">
        <f t="shared" ca="1" si="68"/>
        <v>3.214634490020634E-8</v>
      </c>
      <c r="X108" s="546">
        <f t="shared" ca="1" si="68"/>
        <v>3.8588142571706612E-9</v>
      </c>
      <c r="Y108" s="546">
        <f t="shared" ca="1" si="72"/>
        <v>1.4364052761597346E-3</v>
      </c>
      <c r="AA108" s="18">
        <f t="shared" ref="AA108:AA110" ca="1" si="76">SUM(E108:X108)</f>
        <v>1.4819012013850275E-3</v>
      </c>
      <c r="AB108" s="530"/>
      <c r="AC108" s="530"/>
      <c r="AD108" s="530"/>
      <c r="AE108" s="530"/>
      <c r="AF108" s="530"/>
      <c r="AG108" s="530"/>
      <c r="AH108" s="530"/>
      <c r="AI108" s="530"/>
      <c r="AJ108" s="530"/>
      <c r="AK108" s="530"/>
      <c r="AL108" s="530"/>
      <c r="AM108" s="530"/>
      <c r="AN108" s="530"/>
      <c r="AO108" s="530"/>
      <c r="AP108" s="530"/>
      <c r="AQ108" s="530"/>
      <c r="AR108" s="530"/>
      <c r="AS108" s="530"/>
      <c r="AT108" s="530"/>
      <c r="AU108" s="530"/>
      <c r="AV108" s="530"/>
      <c r="AW108" s="530"/>
      <c r="AX108" s="530"/>
      <c r="AY108" s="530"/>
      <c r="AZ108" s="530"/>
      <c r="BA108" s="530"/>
      <c r="BB108" s="530"/>
      <c r="BC108" s="530"/>
      <c r="BD108" s="530"/>
      <c r="BE108" s="530"/>
      <c r="BF108" s="530"/>
      <c r="BG108" s="530"/>
      <c r="BH108" s="530"/>
      <c r="BI108" s="530"/>
      <c r="BJ108" s="530"/>
      <c r="BK108" s="530"/>
      <c r="BL108" s="530"/>
      <c r="BM108" s="530"/>
      <c r="BN108" s="530"/>
      <c r="BO108" s="530"/>
      <c r="BP108" s="530"/>
      <c r="BQ108" s="530"/>
      <c r="BR108" s="530"/>
      <c r="BS108" s="530"/>
      <c r="BT108" s="530"/>
      <c r="BU108" s="530"/>
      <c r="BV108" s="530"/>
      <c r="BW108" s="530"/>
      <c r="BX108" s="530"/>
      <c r="BY108" s="530"/>
      <c r="BZ108" s="530"/>
      <c r="CA108" s="530"/>
      <c r="CB108" s="530"/>
    </row>
    <row r="109" spans="1:80">
      <c r="A109" s="542">
        <f t="shared" si="66"/>
        <v>0.56446323784331998</v>
      </c>
      <c r="B109" s="542">
        <f t="shared" si="67"/>
        <v>4.7413092438539524</v>
      </c>
      <c r="C109" t="str">
        <f t="shared" si="69"/>
        <v>Energy Efficient Lighting</v>
      </c>
      <c r="D109" t="str">
        <f t="shared" si="70"/>
        <v>Montana FreeStall</v>
      </c>
      <c r="E109" s="546">
        <f t="shared" ca="1" si="71"/>
        <v>4.0769310952172183E-5</v>
      </c>
      <c r="F109" s="546">
        <f t="shared" ca="1" si="68"/>
        <v>5.015820721156141E-5</v>
      </c>
      <c r="G109" s="546">
        <f t="shared" ca="1" si="68"/>
        <v>6.1379954408310598E-5</v>
      </c>
      <c r="H109" s="546">
        <f t="shared" ca="1" si="68"/>
        <v>7.1357970262482434E-5</v>
      </c>
      <c r="I109" s="546">
        <f t="shared" ca="1" si="68"/>
        <v>8.1344647482974828E-5</v>
      </c>
      <c r="J109" s="546">
        <f t="shared" ca="1" si="68"/>
        <v>9.5048136865976318E-5</v>
      </c>
      <c r="K109" s="546">
        <f t="shared" ca="1" si="68"/>
        <v>1.0440675733306948E-4</v>
      </c>
      <c r="L109" s="546">
        <f t="shared" ca="1" si="68"/>
        <v>1.0676090863369425E-4</v>
      </c>
      <c r="M109" s="546">
        <f t="shared" ca="1" si="68"/>
        <v>1.0036844701580129E-4</v>
      </c>
      <c r="N109" s="546">
        <f t="shared" ca="1" si="68"/>
        <v>8.6261697434321131E-5</v>
      </c>
      <c r="O109" s="546">
        <f t="shared" ca="1" si="68"/>
        <v>6.6753662671269274E-5</v>
      </c>
      <c r="P109" s="546">
        <f t="shared" ca="1" si="68"/>
        <v>4.552625262995573E-5</v>
      </c>
      <c r="Q109" s="546">
        <f t="shared" ca="1" si="68"/>
        <v>2.7223883569219922E-5</v>
      </c>
      <c r="R109" s="546">
        <f t="shared" ca="1" si="68"/>
        <v>1.3919543445418019E-5</v>
      </c>
      <c r="S109" s="546">
        <f t="shared" ca="1" si="68"/>
        <v>5.9588607144945201E-6</v>
      </c>
      <c r="T109" s="546">
        <f t="shared" ca="1" si="68"/>
        <v>2.0879516162249961E-6</v>
      </c>
      <c r="U109" s="546">
        <f t="shared" ca="1" si="68"/>
        <v>5.8573943263924418E-7</v>
      </c>
      <c r="V109" s="546">
        <f t="shared" ca="1" si="68"/>
        <v>1.2717602179869783E-7</v>
      </c>
      <c r="W109" s="546">
        <f t="shared" ca="1" si="68"/>
        <v>2.0826285921591354E-8</v>
      </c>
      <c r="X109" s="546">
        <f t="shared" ca="1" si="68"/>
        <v>2.4999659926386682E-9</v>
      </c>
      <c r="Y109" s="546">
        <f t="shared" ca="1" si="72"/>
        <v>9.3058750764516958E-4</v>
      </c>
      <c r="AA109" s="18">
        <f t="shared" ca="1" si="76"/>
        <v>9.6006243395329856E-4</v>
      </c>
      <c r="AB109" s="530"/>
      <c r="AC109" s="530"/>
      <c r="AD109" s="530"/>
      <c r="AE109" s="530"/>
      <c r="AF109" s="530"/>
      <c r="AG109" s="530"/>
      <c r="AH109" s="530"/>
      <c r="AI109" s="530"/>
      <c r="AJ109" s="530"/>
      <c r="AK109" s="530"/>
      <c r="AL109" s="530"/>
      <c r="AM109" s="530"/>
      <c r="AN109" s="530"/>
      <c r="AO109" s="530"/>
      <c r="AP109" s="530"/>
      <c r="AQ109" s="530"/>
      <c r="AR109" s="530"/>
      <c r="AS109" s="530"/>
      <c r="AT109" s="530"/>
      <c r="AU109" s="530"/>
      <c r="AV109" s="530"/>
      <c r="AW109" s="530"/>
      <c r="AX109" s="530"/>
      <c r="AY109" s="530"/>
      <c r="AZ109" s="530"/>
      <c r="BA109" s="530"/>
      <c r="BB109" s="530"/>
      <c r="BC109" s="530"/>
      <c r="BD109" s="530"/>
      <c r="BE109" s="530"/>
      <c r="BF109" s="530"/>
      <c r="BG109" s="530"/>
      <c r="BH109" s="530"/>
      <c r="BI109" s="530"/>
      <c r="BJ109" s="530"/>
      <c r="BK109" s="530"/>
      <c r="BL109" s="530"/>
      <c r="BM109" s="530"/>
      <c r="BN109" s="530"/>
      <c r="BO109" s="530"/>
      <c r="BP109" s="530"/>
      <c r="BQ109" s="530"/>
      <c r="BR109" s="530"/>
      <c r="BS109" s="530"/>
      <c r="BT109" s="530"/>
      <c r="BU109" s="530"/>
      <c r="BV109" s="530"/>
      <c r="BW109" s="530"/>
      <c r="BX109" s="530"/>
      <c r="BY109" s="530"/>
      <c r="BZ109" s="530"/>
      <c r="CA109" s="530"/>
      <c r="CB109" s="530"/>
    </row>
    <row r="110" spans="1:80">
      <c r="A110" s="542">
        <f t="shared" si="66"/>
        <v>5.2516901160200797</v>
      </c>
      <c r="B110" s="542">
        <f t="shared" si="67"/>
        <v>-6.6853843794400083</v>
      </c>
      <c r="C110" t="str">
        <f t="shared" si="69"/>
        <v>VSD - Vacuum Pump</v>
      </c>
      <c r="D110" t="str">
        <f t="shared" si="70"/>
        <v>Montana TieStall</v>
      </c>
      <c r="E110" s="546">
        <f t="shared" si="71"/>
        <v>4.969336557189408E-5</v>
      </c>
      <c r="F110" s="546">
        <f t="shared" si="68"/>
        <v>6.1015527732213395E-5</v>
      </c>
      <c r="G110" s="546">
        <f t="shared" si="68"/>
        <v>7.4665150212424534E-5</v>
      </c>
      <c r="H110" s="546">
        <f t="shared" si="68"/>
        <v>8.6674474834698989E-5</v>
      </c>
      <c r="I110" s="546">
        <f t="shared" si="68"/>
        <v>9.8863214392353133E-5</v>
      </c>
      <c r="J110" s="546">
        <f t="shared" si="68"/>
        <v>1.1558298126765885E-4</v>
      </c>
      <c r="K110" s="546">
        <f t="shared" si="68"/>
        <v>1.2679632539745023E-4</v>
      </c>
      <c r="L110" s="546">
        <f t="shared" si="68"/>
        <v>1.2953140289893964E-4</v>
      </c>
      <c r="M110" s="546">
        <f t="shared" si="68"/>
        <v>1.2206780205182774E-4</v>
      </c>
      <c r="N110" s="546">
        <f t="shared" si="68"/>
        <v>1.0492761536481402E-4</v>
      </c>
      <c r="O110" s="546">
        <f t="shared" si="68"/>
        <v>8.1197418840722767E-5</v>
      </c>
      <c r="P110" s="546">
        <f t="shared" si="68"/>
        <v>5.5724014206517477E-5</v>
      </c>
      <c r="Q110" s="546">
        <f t="shared" si="68"/>
        <v>3.3345675093081643E-5</v>
      </c>
      <c r="R110" s="546">
        <f t="shared" si="68"/>
        <v>1.7073675347785186E-5</v>
      </c>
      <c r="S110" s="546">
        <f t="shared" si="68"/>
        <v>7.3251885010445483E-6</v>
      </c>
      <c r="T110" s="546">
        <f t="shared" si="68"/>
        <v>2.5734896450743729E-6</v>
      </c>
      <c r="U110" s="546">
        <f t="shared" si="68"/>
        <v>7.2195217168187006E-7</v>
      </c>
      <c r="V110" s="546">
        <f t="shared" si="68"/>
        <v>1.5735279269553206E-7</v>
      </c>
      <c r="W110" s="546">
        <f t="shared" si="68"/>
        <v>2.5864399009386562E-8</v>
      </c>
      <c r="X110" s="546">
        <f t="shared" si="68"/>
        <v>3.1046084720518911E-9</v>
      </c>
      <c r="Y110" s="546">
        <f t="shared" si="72"/>
        <v>1.1556596644626532E-3</v>
      </c>
      <c r="AA110" s="18">
        <f t="shared" si="76"/>
        <v>1.1679655953303592E-3</v>
      </c>
      <c r="AB110" s="530"/>
      <c r="AC110" s="530"/>
      <c r="AD110" s="530"/>
      <c r="AE110" s="530"/>
      <c r="AF110" s="530"/>
      <c r="AG110" s="530"/>
      <c r="AH110" s="530"/>
      <c r="AI110" s="530"/>
      <c r="AJ110" s="530"/>
      <c r="AK110" s="530"/>
      <c r="AL110" s="530"/>
      <c r="AM110" s="530"/>
      <c r="AN110" s="530"/>
      <c r="AO110" s="530"/>
      <c r="AP110" s="530"/>
      <c r="AQ110" s="530"/>
      <c r="AR110" s="530"/>
      <c r="AS110" s="530"/>
      <c r="AT110" s="530"/>
      <c r="AU110" s="530"/>
      <c r="AV110" s="530"/>
      <c r="AW110" s="530"/>
      <c r="AX110" s="530"/>
      <c r="AY110" s="530"/>
      <c r="AZ110" s="530"/>
      <c r="BA110" s="530"/>
      <c r="BB110" s="530"/>
      <c r="BC110" s="530"/>
      <c r="BD110" s="530"/>
      <c r="BE110" s="530"/>
      <c r="BF110" s="530"/>
      <c r="BG110" s="530"/>
      <c r="BH110" s="530"/>
      <c r="BI110" s="530"/>
      <c r="BJ110" s="530"/>
      <c r="BK110" s="530"/>
      <c r="BL110" s="530"/>
      <c r="BM110" s="530"/>
      <c r="BN110" s="530"/>
      <c r="BO110" s="530"/>
      <c r="BP110" s="530"/>
      <c r="BQ110" s="530"/>
      <c r="BR110" s="530"/>
      <c r="BS110" s="530"/>
      <c r="BT110" s="530"/>
      <c r="BU110" s="530"/>
      <c r="BV110" s="530"/>
      <c r="BW110" s="530"/>
      <c r="BX110" s="530"/>
      <c r="BY110" s="530"/>
      <c r="BZ110" s="530"/>
      <c r="CA110" s="530"/>
      <c r="CB110" s="530"/>
    </row>
    <row r="111" spans="1:80">
      <c r="A111" s="542">
        <f t="shared" si="66"/>
        <v>5.5575439658943351</v>
      </c>
      <c r="B111" s="542">
        <f t="shared" si="67"/>
        <v>-6.6357268278525448</v>
      </c>
      <c r="C111" t="str">
        <f t="shared" si="69"/>
        <v>Heat Recovery Refrigeration</v>
      </c>
      <c r="D111" t="str">
        <f t="shared" si="70"/>
        <v>Montana TieStall</v>
      </c>
      <c r="E111" s="546">
        <f t="shared" si="71"/>
        <v>2.7583798644153519E-4</v>
      </c>
      <c r="F111" s="546">
        <f t="shared" si="68"/>
        <v>3.3868505619672596E-4</v>
      </c>
      <c r="G111" s="546">
        <f t="shared" si="68"/>
        <v>4.144513951697103E-4</v>
      </c>
      <c r="H111" s="546">
        <f t="shared" si="68"/>
        <v>4.8111276704918931E-4</v>
      </c>
      <c r="I111" s="546">
        <f t="shared" si="68"/>
        <v>5.4877003554269581E-4</v>
      </c>
      <c r="J111" s="546">
        <f t="shared" si="68"/>
        <v>6.4157813528759771E-4</v>
      </c>
      <c r="K111" s="546">
        <f t="shared" si="68"/>
        <v>7.0382117780325799E-4</v>
      </c>
      <c r="L111" s="546">
        <f t="shared" si="68"/>
        <v>7.1900304890596864E-4</v>
      </c>
      <c r="M111" s="546">
        <f t="shared" si="68"/>
        <v>6.7757408538985948E-4</v>
      </c>
      <c r="N111" s="546">
        <f t="shared" si="68"/>
        <v>5.8243231890721424E-4</v>
      </c>
      <c r="O111" s="546">
        <f t="shared" si="68"/>
        <v>4.5071071881560345E-4</v>
      </c>
      <c r="P111" s="546">
        <f t="shared" si="68"/>
        <v>3.0931291729330583E-4</v>
      </c>
      <c r="Q111" s="546">
        <f t="shared" si="68"/>
        <v>1.8509520875381331E-4</v>
      </c>
      <c r="R111" s="546">
        <f t="shared" si="68"/>
        <v>9.4772575270152647E-5</v>
      </c>
      <c r="S111" s="546">
        <f t="shared" si="68"/>
        <v>4.066066411842351E-5</v>
      </c>
      <c r="T111" s="546">
        <f t="shared" si="68"/>
        <v>1.4284929057551039E-5</v>
      </c>
      <c r="U111" s="546">
        <f t="shared" si="68"/>
        <v>4.0074128820216721E-6</v>
      </c>
      <c r="V111" s="546">
        <f t="shared" si="68"/>
        <v>8.7343404896360122E-7</v>
      </c>
      <c r="W111" s="546">
        <f t="shared" si="68"/>
        <v>1.4356813351568894E-7</v>
      </c>
      <c r="X111" s="546">
        <f t="shared" si="68"/>
        <v>1.7233064006928038E-8</v>
      </c>
      <c r="Y111" s="546">
        <f t="shared" si="72"/>
        <v>6.4148368939891927E-3</v>
      </c>
      <c r="AA111" s="18">
        <f t="shared" ref="AA111:AA113" si="77">SUM(E111:X111)</f>
        <v>6.4831446681311118E-3</v>
      </c>
      <c r="AB111" s="530"/>
      <c r="AC111" s="530"/>
      <c r="AD111" s="530"/>
      <c r="AE111" s="530"/>
      <c r="AF111" s="530"/>
      <c r="AG111" s="530"/>
      <c r="AH111" s="530"/>
      <c r="AI111" s="530"/>
      <c r="AJ111" s="530"/>
      <c r="AK111" s="530"/>
      <c r="AL111" s="530"/>
      <c r="AM111" s="530"/>
      <c r="AN111" s="530"/>
      <c r="AO111" s="530"/>
      <c r="AP111" s="530"/>
      <c r="AQ111" s="530"/>
      <c r="AR111" s="530"/>
      <c r="AS111" s="530"/>
      <c r="AT111" s="530"/>
      <c r="AU111" s="530"/>
      <c r="AV111" s="530"/>
      <c r="AW111" s="530"/>
      <c r="AX111" s="530"/>
      <c r="AY111" s="530"/>
      <c r="AZ111" s="530"/>
      <c r="BA111" s="530"/>
      <c r="BB111" s="530"/>
      <c r="BC111" s="530"/>
      <c r="BD111" s="530"/>
      <c r="BE111" s="530"/>
      <c r="BF111" s="530"/>
      <c r="BG111" s="530"/>
      <c r="BH111" s="530"/>
      <c r="BI111" s="530"/>
      <c r="BJ111" s="530"/>
      <c r="BK111" s="530"/>
      <c r="BL111" s="530"/>
      <c r="BM111" s="530"/>
      <c r="BN111" s="530"/>
      <c r="BO111" s="530"/>
      <c r="BP111" s="530"/>
      <c r="BQ111" s="530"/>
      <c r="BR111" s="530"/>
      <c r="BS111" s="530"/>
      <c r="BT111" s="530"/>
      <c r="BU111" s="530"/>
      <c r="BV111" s="530"/>
      <c r="BW111" s="530"/>
      <c r="BX111" s="530"/>
      <c r="BY111" s="530"/>
      <c r="BZ111" s="530"/>
      <c r="CA111" s="530"/>
      <c r="CB111" s="530"/>
    </row>
    <row r="112" spans="1:80">
      <c r="A112" s="542">
        <f t="shared" si="66"/>
        <v>4.297103134260384</v>
      </c>
      <c r="B112" s="542">
        <f t="shared" si="67"/>
        <v>-7.6191296344260442</v>
      </c>
      <c r="C112" t="str">
        <f t="shared" si="69"/>
        <v>Plate Milk Pre-Cooler</v>
      </c>
      <c r="D112" t="str">
        <f t="shared" si="70"/>
        <v>Montana TieStall</v>
      </c>
      <c r="E112" s="546">
        <f t="shared" si="71"/>
        <v>1.3680590429938715E-4</v>
      </c>
      <c r="F112" s="546">
        <f t="shared" si="68"/>
        <v>1.6797583242039263E-4</v>
      </c>
      <c r="G112" s="546">
        <f t="shared" si="68"/>
        <v>2.0555326202815249E-4</v>
      </c>
      <c r="H112" s="546">
        <f t="shared" si="68"/>
        <v>2.3861494935939617E-4</v>
      </c>
      <c r="I112" s="546">
        <f t="shared" si="68"/>
        <v>2.7217056625642724E-4</v>
      </c>
      <c r="J112" s="546">
        <f t="shared" si="68"/>
        <v>3.1820010763940898E-4</v>
      </c>
      <c r="K112" s="546">
        <f t="shared" si="68"/>
        <v>3.4907045957153831E-4</v>
      </c>
      <c r="L112" s="546">
        <f t="shared" si="68"/>
        <v>3.5660013172422896E-4</v>
      </c>
      <c r="M112" s="546">
        <f t="shared" si="68"/>
        <v>3.3605282824683439E-4</v>
      </c>
      <c r="N112" s="546">
        <f t="shared" si="68"/>
        <v>2.888658705394769E-4</v>
      </c>
      <c r="O112" s="546">
        <f t="shared" si="68"/>
        <v>2.2353660661623363E-4</v>
      </c>
      <c r="P112" s="546">
        <f t="shared" si="68"/>
        <v>1.5340828834958608E-4</v>
      </c>
      <c r="Q112" s="546">
        <f t="shared" si="68"/>
        <v>9.180068975168644E-5</v>
      </c>
      <c r="R112" s="546">
        <f t="shared" si="68"/>
        <v>4.7003851898270145E-5</v>
      </c>
      <c r="S112" s="546">
        <f t="shared" si="68"/>
        <v>2.0166254096817764E-5</v>
      </c>
      <c r="T112" s="546">
        <f t="shared" si="68"/>
        <v>7.0848205600031598E-6</v>
      </c>
      <c r="U112" s="546">
        <f t="shared" si="68"/>
        <v>1.9875353293379286E-6</v>
      </c>
      <c r="V112" s="546">
        <f t="shared" si="68"/>
        <v>4.3319245639746994E-7</v>
      </c>
      <c r="W112" s="546">
        <f t="shared" si="68"/>
        <v>7.1204726323478805E-8</v>
      </c>
      <c r="X112" s="546">
        <f t="shared" si="68"/>
        <v>8.5469914268559548E-9</v>
      </c>
      <c r="Y112" s="546">
        <f t="shared" si="72"/>
        <v>3.1815326581252829E-3</v>
      </c>
      <c r="AA112" s="18">
        <f t="shared" si="77"/>
        <v>3.2154109028613258E-3</v>
      </c>
      <c r="AB112" s="530"/>
      <c r="AC112" s="530"/>
      <c r="AD112" s="530"/>
      <c r="AE112" s="530"/>
      <c r="AF112" s="530"/>
      <c r="AG112" s="530"/>
      <c r="AH112" s="530"/>
      <c r="AI112" s="530"/>
      <c r="AJ112" s="530"/>
      <c r="AK112" s="530"/>
      <c r="AL112" s="530"/>
      <c r="AM112" s="530"/>
      <c r="AN112" s="530"/>
      <c r="AO112" s="530"/>
      <c r="AP112" s="530"/>
      <c r="AQ112" s="530"/>
      <c r="AR112" s="530"/>
      <c r="AS112" s="530"/>
      <c r="AT112" s="530"/>
      <c r="AU112" s="530"/>
      <c r="AV112" s="530"/>
      <c r="AW112" s="530"/>
      <c r="AX112" s="530"/>
      <c r="AY112" s="530"/>
      <c r="AZ112" s="530"/>
      <c r="BA112" s="530"/>
      <c r="BB112" s="530"/>
      <c r="BC112" s="530"/>
      <c r="BD112" s="530"/>
      <c r="BE112" s="530"/>
      <c r="BF112" s="530"/>
      <c r="BG112" s="530"/>
      <c r="BH112" s="530"/>
      <c r="BI112" s="530"/>
      <c r="BJ112" s="530"/>
      <c r="BK112" s="530"/>
      <c r="BL112" s="530"/>
      <c r="BM112" s="530"/>
      <c r="BN112" s="530"/>
      <c r="BO112" s="530"/>
      <c r="BP112" s="530"/>
      <c r="BQ112" s="530"/>
      <c r="BR112" s="530"/>
      <c r="BS112" s="530"/>
      <c r="BT112" s="530"/>
      <c r="BU112" s="530"/>
      <c r="BV112" s="530"/>
      <c r="BW112" s="530"/>
      <c r="BX112" s="530"/>
      <c r="BY112" s="530"/>
      <c r="BZ112" s="530"/>
      <c r="CA112" s="530"/>
      <c r="CB112" s="530"/>
    </row>
    <row r="113" spans="1:80">
      <c r="A113" s="542">
        <f t="shared" si="66"/>
        <v>3.0449198475183858</v>
      </c>
      <c r="B113" s="542">
        <f t="shared" si="67"/>
        <v>3.9511787212703759</v>
      </c>
      <c r="C113" t="str">
        <f t="shared" si="69"/>
        <v>Energy Efficient Lighting</v>
      </c>
      <c r="D113" t="str">
        <f t="shared" si="70"/>
        <v>Montana TieStall</v>
      </c>
      <c r="E113" s="546">
        <f t="shared" si="71"/>
        <v>1.2910150256931214E-5</v>
      </c>
      <c r="F113" s="546">
        <f t="shared" si="68"/>
        <v>1.5851605580813236E-5</v>
      </c>
      <c r="G113" s="546">
        <f t="shared" si="68"/>
        <v>1.9397726378668373E-5</v>
      </c>
      <c r="H113" s="546">
        <f t="shared" si="68"/>
        <v>2.2517703936507939E-5</v>
      </c>
      <c r="I113" s="546">
        <f t="shared" si="68"/>
        <v>2.5684292822588859E-5</v>
      </c>
      <c r="J113" s="546">
        <f t="shared" si="68"/>
        <v>3.0028025635548969E-5</v>
      </c>
      <c r="K113" s="546">
        <f t="shared" si="68"/>
        <v>3.294121044266056E-5</v>
      </c>
      <c r="L113" s="546">
        <f t="shared" si="68"/>
        <v>3.3651773333746995E-5</v>
      </c>
      <c r="M113" s="546">
        <f t="shared" si="68"/>
        <v>3.1712757787404689E-5</v>
      </c>
      <c r="N113" s="546">
        <f t="shared" si="68"/>
        <v>2.7259801481978822E-5</v>
      </c>
      <c r="O113" s="546">
        <f t="shared" si="68"/>
        <v>2.1094785302720508E-5</v>
      </c>
      <c r="P113" s="546">
        <f t="shared" ref="F113:X126" si="78">VLOOKUP($C113&amp;$D113,$B$62:$Y$89,P$26+1,FALSE)*$C$98*$A113/8760/1000</f>
        <v>1.4476890185365039E-5</v>
      </c>
      <c r="Q113" s="546">
        <f t="shared" si="78"/>
        <v>8.6630814982267309E-6</v>
      </c>
      <c r="R113" s="546">
        <f t="shared" si="78"/>
        <v>4.4356769086020179E-6</v>
      </c>
      <c r="S113" s="546">
        <f t="shared" si="78"/>
        <v>1.9030565372355662E-6</v>
      </c>
      <c r="T113" s="546">
        <f t="shared" si="78"/>
        <v>6.6858297119158848E-7</v>
      </c>
      <c r="U113" s="546">
        <f t="shared" si="78"/>
        <v>1.8756047024519307E-7</v>
      </c>
      <c r="V113" s="546">
        <f t="shared" si="78"/>
        <v>4.0879666202283312E-8</v>
      </c>
      <c r="W113" s="546">
        <f t="shared" si="78"/>
        <v>6.7194739916199277E-9</v>
      </c>
      <c r="X113" s="546">
        <f t="shared" si="78"/>
        <v>8.0656565321872302E-10</v>
      </c>
      <c r="Y113" s="546">
        <f t="shared" si="72"/>
        <v>3.0023605248677247E-4</v>
      </c>
      <c r="AA113" s="18">
        <f t="shared" si="77"/>
        <v>3.0343308723628344E-4</v>
      </c>
      <c r="AB113" s="530"/>
      <c r="AC113" s="530"/>
      <c r="AD113" s="530"/>
      <c r="AE113" s="530"/>
      <c r="AF113" s="530"/>
      <c r="AG113" s="530"/>
      <c r="AH113" s="530"/>
      <c r="AI113" s="530"/>
      <c r="AJ113" s="530"/>
      <c r="AK113" s="530"/>
      <c r="AL113" s="530"/>
      <c r="AM113" s="530"/>
      <c r="AN113" s="530"/>
      <c r="AO113" s="530"/>
      <c r="AP113" s="530"/>
      <c r="AQ113" s="530"/>
      <c r="AR113" s="530"/>
      <c r="AS113" s="530"/>
      <c r="AT113" s="530"/>
      <c r="AU113" s="530"/>
      <c r="AV113" s="530"/>
      <c r="AW113" s="530"/>
      <c r="AX113" s="530"/>
      <c r="AY113" s="530"/>
      <c r="AZ113" s="530"/>
      <c r="BA113" s="530"/>
      <c r="BB113" s="530"/>
      <c r="BC113" s="530"/>
      <c r="BD113" s="530"/>
      <c r="BE113" s="530"/>
      <c r="BF113" s="530"/>
      <c r="BG113" s="530"/>
      <c r="BH113" s="530"/>
      <c r="BI113" s="530"/>
      <c r="BJ113" s="530"/>
      <c r="BK113" s="530"/>
      <c r="BL113" s="530"/>
      <c r="BM113" s="530"/>
      <c r="BN113" s="530"/>
      <c r="BO113" s="530"/>
      <c r="BP113" s="530"/>
      <c r="BQ113" s="530"/>
      <c r="BR113" s="530"/>
      <c r="BS113" s="530"/>
      <c r="BT113" s="530"/>
      <c r="BU113" s="530"/>
      <c r="BV113" s="530"/>
      <c r="BW113" s="530"/>
      <c r="BX113" s="530"/>
      <c r="BY113" s="530"/>
      <c r="BZ113" s="530"/>
      <c r="CA113" s="530"/>
      <c r="CB113" s="530"/>
    </row>
    <row r="114" spans="1:80">
      <c r="A114" s="542">
        <f t="shared" si="66"/>
        <v>7.4915370557043142</v>
      </c>
      <c r="B114" s="542">
        <f t="shared" si="67"/>
        <v>-5.4739757676741085</v>
      </c>
      <c r="C114" t="str">
        <f t="shared" si="69"/>
        <v>VSD - Vacuum Pump</v>
      </c>
      <c r="D114" t="str">
        <f t="shared" si="70"/>
        <v>Oregon FreeStall</v>
      </c>
      <c r="E114" s="546">
        <f t="shared" ca="1" si="71"/>
        <v>2.077159588021702E-4</v>
      </c>
      <c r="F114" s="546">
        <f t="shared" ca="1" si="78"/>
        <v>2.5860603845258577E-4</v>
      </c>
      <c r="G114" s="546">
        <f t="shared" ca="1" si="78"/>
        <v>3.2074102545630464E-4</v>
      </c>
      <c r="H114" s="546">
        <f t="shared" ca="1" si="78"/>
        <v>3.7705165013009808E-4</v>
      </c>
      <c r="I114" s="546">
        <f t="shared" ca="1" si="78"/>
        <v>4.3548899430555915E-4</v>
      </c>
      <c r="J114" s="546">
        <f t="shared" ca="1" si="78"/>
        <v>5.1567042292148817E-4</v>
      </c>
      <c r="K114" s="546">
        <f t="shared" ca="1" si="78"/>
        <v>5.7380687725541084E-4</v>
      </c>
      <c r="L114" s="546">
        <f t="shared" ca="1" si="78"/>
        <v>5.9515822823806564E-4</v>
      </c>
      <c r="M114" s="546">
        <f t="shared" ca="1" si="78"/>
        <v>5.6979683242392983E-4</v>
      </c>
      <c r="N114" s="546">
        <f t="shared" ca="1" si="78"/>
        <v>4.978429300828139E-4</v>
      </c>
      <c r="O114" s="546">
        <f t="shared" ca="1" si="78"/>
        <v>3.9189406096388146E-4</v>
      </c>
      <c r="P114" s="546">
        <f t="shared" ca="1" si="78"/>
        <v>2.7332314067016688E-4</v>
      </c>
      <c r="Q114" s="546">
        <f t="shared" ca="1" si="78"/>
        <v>1.6617317740895264E-4</v>
      </c>
      <c r="R114" s="546">
        <f t="shared" ca="1" si="78"/>
        <v>8.640317839447357E-5</v>
      </c>
      <c r="S114" s="546">
        <f t="shared" ca="1" si="78"/>
        <v>3.7709261383449994E-5</v>
      </c>
      <c r="T114" s="546">
        <f t="shared" ca="1" si="78"/>
        <v>1.3431556126597605E-5</v>
      </c>
      <c r="U114" s="546">
        <f t="shared" ca="1" si="78"/>
        <v>3.8237602733586379E-6</v>
      </c>
      <c r="V114" s="546">
        <f t="shared" ca="1" si="78"/>
        <v>8.470240646550317E-7</v>
      </c>
      <c r="W114" s="546">
        <f t="shared" ca="1" si="78"/>
        <v>1.4118040122437196E-7</v>
      </c>
      <c r="X114" s="546">
        <f t="shared" ca="1" si="78"/>
        <v>1.7205843213832341E-8</v>
      </c>
      <c r="Y114" s="546">
        <f t="shared" ca="1" si="72"/>
        <v>6.4047042241538238E-3</v>
      </c>
      <c r="AA114" s="18">
        <f ca="1">SUM(E114:X114)</f>
        <v>5.3256425035984002E-3</v>
      </c>
      <c r="AB114" s="530"/>
      <c r="AC114" s="530"/>
      <c r="AD114" s="530"/>
      <c r="AE114" s="530"/>
      <c r="AF114" s="530"/>
      <c r="AG114" s="530"/>
      <c r="AH114" s="530"/>
      <c r="AI114" s="530"/>
      <c r="AJ114" s="530"/>
      <c r="AK114" s="530"/>
      <c r="AL114" s="530"/>
      <c r="AM114" s="530"/>
      <c r="AN114" s="530"/>
      <c r="AO114" s="530"/>
      <c r="AP114" s="530"/>
      <c r="AQ114" s="530"/>
      <c r="AR114" s="530"/>
      <c r="AS114" s="530"/>
      <c r="AT114" s="530"/>
      <c r="AU114" s="530"/>
      <c r="AV114" s="530"/>
      <c r="AW114" s="530"/>
      <c r="AX114" s="530"/>
      <c r="AY114" s="530"/>
      <c r="AZ114" s="530"/>
      <c r="BA114" s="530"/>
      <c r="BB114" s="530"/>
      <c r="BC114" s="530"/>
      <c r="BD114" s="530"/>
      <c r="BE114" s="530"/>
      <c r="BF114" s="530"/>
      <c r="BG114" s="530"/>
      <c r="BH114" s="530"/>
      <c r="BI114" s="530"/>
      <c r="BJ114" s="530"/>
      <c r="BK114" s="530"/>
      <c r="BL114" s="530"/>
      <c r="BM114" s="530"/>
      <c r="BN114" s="530"/>
      <c r="BO114" s="530"/>
      <c r="BP114" s="530"/>
      <c r="BQ114" s="530"/>
      <c r="BR114" s="530"/>
      <c r="BS114" s="530"/>
      <c r="BT114" s="530"/>
      <c r="BU114" s="530"/>
      <c r="BV114" s="530"/>
      <c r="BW114" s="530"/>
      <c r="BX114" s="530"/>
      <c r="BY114" s="530"/>
      <c r="BZ114" s="530"/>
      <c r="CA114" s="530"/>
      <c r="CB114" s="530"/>
    </row>
    <row r="115" spans="1:80">
      <c r="A115" s="542">
        <f t="shared" si="66"/>
        <v>4.1447481480335853</v>
      </c>
      <c r="B115" s="542">
        <f t="shared" si="67"/>
        <v>-5.4748497277739405</v>
      </c>
      <c r="C115" t="str">
        <f t="shared" si="69"/>
        <v>Plate Milk Pre-cooler</v>
      </c>
      <c r="D115" t="str">
        <f t="shared" si="70"/>
        <v>Oregon FreeStall</v>
      </c>
      <c r="E115" s="546">
        <f t="shared" ca="1" si="71"/>
        <v>2.1834873476636804E-3</v>
      </c>
      <c r="F115" s="546">
        <f t="shared" ca="1" si="78"/>
        <v>2.7184382762252585E-3</v>
      </c>
      <c r="G115" s="546">
        <f t="shared" ca="1" si="78"/>
        <v>3.3715944359745493E-3</v>
      </c>
      <c r="H115" s="546">
        <f t="shared" ca="1" si="78"/>
        <v>3.9635255385402791E-3</v>
      </c>
      <c r="I115" s="546">
        <f t="shared" ca="1" si="78"/>
        <v>4.5778124829522438E-3</v>
      </c>
      <c r="J115" s="546">
        <f t="shared" ca="1" si="78"/>
        <v>5.4206708550777203E-3</v>
      </c>
      <c r="K115" s="546">
        <f t="shared" ca="1" si="78"/>
        <v>6.0317948785190111E-3</v>
      </c>
      <c r="L115" s="546">
        <f t="shared" ca="1" si="78"/>
        <v>6.2562379352537846E-3</v>
      </c>
      <c r="M115" s="546">
        <f t="shared" ca="1" si="78"/>
        <v>5.9896417276316402E-3</v>
      </c>
      <c r="N115" s="546">
        <f t="shared" ca="1" si="78"/>
        <v>5.2332702081640996E-3</v>
      </c>
      <c r="O115" s="546">
        <f t="shared" ca="1" si="78"/>
        <v>4.1195473312387295E-3</v>
      </c>
      <c r="P115" s="546">
        <f t="shared" ca="1" si="78"/>
        <v>2.8731428385115228E-3</v>
      </c>
      <c r="Q115" s="546">
        <f t="shared" ca="1" si="78"/>
        <v>1.7467941918660576E-3</v>
      </c>
      <c r="R115" s="546">
        <f t="shared" ca="1" si="78"/>
        <v>9.0826072252802692E-4</v>
      </c>
      <c r="S115" s="546">
        <f t="shared" ca="1" si="78"/>
        <v>3.9639561445023371E-4</v>
      </c>
      <c r="T115" s="546">
        <f t="shared" ca="1" si="78"/>
        <v>1.4119104295588699E-4</v>
      </c>
      <c r="U115" s="546">
        <f t="shared" ca="1" si="78"/>
        <v>4.0194948070067936E-5</v>
      </c>
      <c r="V115" s="546">
        <f t="shared" ca="1" si="78"/>
        <v>8.9038239478862945E-6</v>
      </c>
      <c r="W115" s="546">
        <f t="shared" ca="1" si="78"/>
        <v>1.4840728733081699E-6</v>
      </c>
      <c r="X115" s="546">
        <f t="shared" ca="1" si="78"/>
        <v>1.8086593432654147E-7</v>
      </c>
      <c r="Y115" s="546">
        <f t="shared" ca="1" si="72"/>
        <v>6.7325547442827954E-2</v>
      </c>
      <c r="AA115" s="18">
        <f t="shared" ref="AA115:AA117" ca="1" si="79">SUM(E115:X115)</f>
        <v>5.5982569138378312E-2</v>
      </c>
      <c r="AB115" s="530"/>
      <c r="AC115" s="530"/>
      <c r="AD115" s="530"/>
      <c r="AE115" s="530"/>
      <c r="AF115" s="530"/>
      <c r="AG115" s="530"/>
      <c r="AH115" s="530"/>
      <c r="AI115" s="530"/>
      <c r="AJ115" s="530"/>
      <c r="AK115" s="530"/>
      <c r="AL115" s="530"/>
      <c r="AM115" s="530"/>
      <c r="AN115" s="530"/>
      <c r="AO115" s="530"/>
      <c r="AP115" s="530"/>
      <c r="AQ115" s="530"/>
      <c r="AR115" s="530"/>
      <c r="AS115" s="530"/>
      <c r="AT115" s="530"/>
      <c r="AU115" s="530"/>
      <c r="AV115" s="530"/>
      <c r="AW115" s="530"/>
      <c r="AX115" s="530"/>
      <c r="AY115" s="530"/>
      <c r="AZ115" s="530"/>
      <c r="BA115" s="530"/>
      <c r="BB115" s="530"/>
      <c r="BC115" s="530"/>
      <c r="BD115" s="530"/>
      <c r="BE115" s="530"/>
      <c r="BF115" s="530"/>
      <c r="BG115" s="530"/>
      <c r="BH115" s="530"/>
      <c r="BI115" s="530"/>
      <c r="BJ115" s="530"/>
      <c r="BK115" s="530"/>
      <c r="BL115" s="530"/>
      <c r="BM115" s="530"/>
      <c r="BN115" s="530"/>
      <c r="BO115" s="530"/>
      <c r="BP115" s="530"/>
      <c r="BQ115" s="530"/>
      <c r="BR115" s="530"/>
      <c r="BS115" s="530"/>
      <c r="BT115" s="530"/>
      <c r="BU115" s="530"/>
      <c r="BV115" s="530"/>
      <c r="BW115" s="530"/>
      <c r="BX115" s="530"/>
      <c r="BY115" s="530"/>
      <c r="BZ115" s="530"/>
      <c r="CA115" s="530"/>
      <c r="CB115" s="530"/>
    </row>
    <row r="116" spans="1:80">
      <c r="A116" s="542">
        <f t="shared" si="66"/>
        <v>0.56446323784331998</v>
      </c>
      <c r="B116" s="542">
        <f t="shared" si="67"/>
        <v>4.7413092438539524</v>
      </c>
      <c r="C116" t="str">
        <f t="shared" si="69"/>
        <v>Energy Efficient Lighting</v>
      </c>
      <c r="D116" t="str">
        <f t="shared" si="70"/>
        <v>Oregon FreeStall</v>
      </c>
      <c r="E116" s="546">
        <f t="shared" ca="1" si="71"/>
        <v>1.4145910507022863E-3</v>
      </c>
      <c r="F116" s="546">
        <f t="shared" ca="1" si="78"/>
        <v>1.761163609008058E-3</v>
      </c>
      <c r="G116" s="546">
        <f t="shared" ca="1" si="78"/>
        <v>2.1843164426075018E-3</v>
      </c>
      <c r="H116" s="546">
        <f t="shared" ca="1" si="78"/>
        <v>2.5678040965285407E-3</v>
      </c>
      <c r="I116" s="546">
        <f t="shared" ca="1" si="78"/>
        <v>2.9657751747938698E-3</v>
      </c>
      <c r="J116" s="546">
        <f t="shared" ca="1" si="78"/>
        <v>3.5118282176447718E-3</v>
      </c>
      <c r="K116" s="546">
        <f t="shared" ca="1" si="78"/>
        <v>3.9077501703660552E-3</v>
      </c>
      <c r="L116" s="546">
        <f t="shared" ca="1" si="78"/>
        <v>4.0531575343194098E-3</v>
      </c>
      <c r="M116" s="546">
        <f t="shared" ca="1" si="78"/>
        <v>3.8804408891522308E-3</v>
      </c>
      <c r="N116" s="546">
        <f t="shared" ca="1" si="78"/>
        <v>3.3904190973659295E-3</v>
      </c>
      <c r="O116" s="546">
        <f t="shared" ca="1" si="78"/>
        <v>2.6688841563245877E-3</v>
      </c>
      <c r="P116" s="546">
        <f t="shared" ca="1" si="78"/>
        <v>1.8613902897566894E-3</v>
      </c>
      <c r="Q116" s="546">
        <f t="shared" ca="1" si="78"/>
        <v>1.1316756352522095E-3</v>
      </c>
      <c r="R116" s="546">
        <f t="shared" ca="1" si="78"/>
        <v>5.884245178554787E-4</v>
      </c>
      <c r="S116" s="546">
        <f t="shared" ca="1" si="78"/>
        <v>2.5680830683031921E-4</v>
      </c>
      <c r="T116" s="546">
        <f t="shared" ca="1" si="78"/>
        <v>9.1471831068051405E-5</v>
      </c>
      <c r="U116" s="546">
        <f t="shared" ca="1" si="78"/>
        <v>2.604064268299997E-5</v>
      </c>
      <c r="V116" s="546">
        <f t="shared" ca="1" si="78"/>
        <v>5.768418895207026E-6</v>
      </c>
      <c r="W116" s="546">
        <f t="shared" ca="1" si="78"/>
        <v>9.6146937027964188E-7</v>
      </c>
      <c r="X116" s="546">
        <f t="shared" ca="1" si="78"/>
        <v>1.1717555054715225E-7</v>
      </c>
      <c r="Y116" s="546">
        <f t="shared" ca="1" si="72"/>
        <v>4.3617434741795441E-2</v>
      </c>
      <c r="AA116" s="18">
        <f t="shared" ca="1" si="79"/>
        <v>3.6268788726075023E-2</v>
      </c>
      <c r="AB116" s="530"/>
      <c r="AC116" s="530"/>
      <c r="AD116" s="530"/>
      <c r="AE116" s="530"/>
      <c r="AF116" s="530"/>
      <c r="AG116" s="530"/>
      <c r="AH116" s="530"/>
      <c r="AI116" s="530"/>
      <c r="AJ116" s="530"/>
      <c r="AK116" s="530"/>
      <c r="AL116" s="530"/>
      <c r="AM116" s="530"/>
      <c r="AN116" s="530"/>
      <c r="AO116" s="530"/>
      <c r="AP116" s="530"/>
      <c r="AQ116" s="530"/>
      <c r="AR116" s="530"/>
      <c r="AS116" s="530"/>
      <c r="AT116" s="530"/>
      <c r="AU116" s="530"/>
      <c r="AV116" s="530"/>
      <c r="AW116" s="530"/>
      <c r="AX116" s="530"/>
      <c r="AY116" s="530"/>
      <c r="AZ116" s="530"/>
      <c r="BA116" s="530"/>
      <c r="BB116" s="530"/>
      <c r="BC116" s="530"/>
      <c r="BD116" s="530"/>
      <c r="BE116" s="530"/>
      <c r="BF116" s="530"/>
      <c r="BG116" s="530"/>
      <c r="BH116" s="530"/>
      <c r="BI116" s="530"/>
      <c r="BJ116" s="530"/>
      <c r="BK116" s="530"/>
      <c r="BL116" s="530"/>
      <c r="BM116" s="530"/>
      <c r="BN116" s="530"/>
      <c r="BO116" s="530"/>
      <c r="BP116" s="530"/>
      <c r="BQ116" s="530"/>
      <c r="BR116" s="530"/>
      <c r="BS116" s="530"/>
      <c r="BT116" s="530"/>
      <c r="BU116" s="530"/>
      <c r="BV116" s="530"/>
      <c r="BW116" s="530"/>
      <c r="BX116" s="530"/>
      <c r="BY116" s="530"/>
      <c r="BZ116" s="530"/>
      <c r="CA116" s="530"/>
      <c r="CB116" s="530"/>
    </row>
    <row r="117" spans="1:80">
      <c r="A117" s="542">
        <f t="shared" si="66"/>
        <v>5.2516901160200797</v>
      </c>
      <c r="B117" s="542">
        <f t="shared" si="67"/>
        <v>-6.6853843794400083</v>
      </c>
      <c r="C117" t="str">
        <f t="shared" si="69"/>
        <v>VSD - Vacuum Pump</v>
      </c>
      <c r="D117" t="str">
        <f t="shared" si="70"/>
        <v>Oregon TieStall</v>
      </c>
      <c r="E117" s="546">
        <f t="shared" si="71"/>
        <v>3.0249966268152339E-4</v>
      </c>
      <c r="F117" s="546">
        <f t="shared" si="78"/>
        <v>3.7142134256587419E-4</v>
      </c>
      <c r="G117" s="546">
        <f t="shared" si="78"/>
        <v>4.5451102965942292E-4</v>
      </c>
      <c r="H117" s="546">
        <f t="shared" si="78"/>
        <v>5.2761569072358743E-4</v>
      </c>
      <c r="I117" s="546">
        <f t="shared" si="78"/>
        <v>6.0181250879518704E-4</v>
      </c>
      <c r="J117" s="546">
        <f t="shared" si="78"/>
        <v>7.0359116237775441E-4</v>
      </c>
      <c r="K117" s="546">
        <f t="shared" si="78"/>
        <v>7.7185043155295833E-4</v>
      </c>
      <c r="L117" s="546">
        <f t="shared" si="78"/>
        <v>7.8849973699014753E-4</v>
      </c>
      <c r="M117" s="546">
        <f t="shared" si="78"/>
        <v>7.4306637354901596E-4</v>
      </c>
      <c r="N117" s="546">
        <f t="shared" si="78"/>
        <v>6.3872848796912482E-4</v>
      </c>
      <c r="O117" s="546">
        <f t="shared" si="78"/>
        <v>4.9427507127472697E-4</v>
      </c>
      <c r="P117" s="546">
        <f t="shared" si="78"/>
        <v>3.3921018040818259E-4</v>
      </c>
      <c r="Q117" s="546">
        <f t="shared" si="78"/>
        <v>2.0298595902005037E-4</v>
      </c>
      <c r="R117" s="546">
        <f t="shared" si="78"/>
        <v>1.0393300944703962E-4</v>
      </c>
      <c r="S117" s="546">
        <f t="shared" si="78"/>
        <v>4.4590802517465538E-5</v>
      </c>
      <c r="T117" s="546">
        <f t="shared" si="78"/>
        <v>1.566566765181405E-5</v>
      </c>
      <c r="U117" s="546">
        <f t="shared" si="78"/>
        <v>4.3947574468467406E-6</v>
      </c>
      <c r="V117" s="546">
        <f t="shared" si="78"/>
        <v>9.5785757645112278E-7</v>
      </c>
      <c r="W117" s="546">
        <f t="shared" si="78"/>
        <v>1.5744500067077166E-7</v>
      </c>
      <c r="X117" s="546">
        <f t="shared" si="78"/>
        <v>1.8898760523579102E-8</v>
      </c>
      <c r="Y117" s="546">
        <f t="shared" si="72"/>
        <v>7.0348758763144987E-3</v>
      </c>
      <c r="AA117" s="18">
        <f t="shared" si="79"/>
        <v>7.1097860759683678E-3</v>
      </c>
      <c r="AB117" s="530"/>
      <c r="AC117" s="530"/>
      <c r="AD117" s="530"/>
      <c r="AE117" s="530"/>
      <c r="AF117" s="530"/>
      <c r="AG117" s="530"/>
      <c r="AH117" s="530"/>
      <c r="AI117" s="530"/>
      <c r="AJ117" s="530"/>
      <c r="AK117" s="530"/>
      <c r="AL117" s="530"/>
      <c r="AM117" s="530"/>
      <c r="AN117" s="530"/>
      <c r="AO117" s="530"/>
      <c r="AP117" s="530"/>
      <c r="AQ117" s="530"/>
      <c r="AR117" s="530"/>
      <c r="AS117" s="530"/>
      <c r="AT117" s="530"/>
      <c r="AU117" s="530"/>
      <c r="AV117" s="530"/>
      <c r="AW117" s="530"/>
      <c r="AX117" s="530"/>
      <c r="AY117" s="530"/>
      <c r="AZ117" s="530"/>
      <c r="BA117" s="530"/>
      <c r="BB117" s="530"/>
      <c r="BC117" s="530"/>
      <c r="BD117" s="530"/>
      <c r="BE117" s="530"/>
      <c r="BF117" s="530"/>
      <c r="BG117" s="530"/>
      <c r="BH117" s="530"/>
      <c r="BI117" s="530"/>
      <c r="BJ117" s="530"/>
      <c r="BK117" s="530"/>
      <c r="BL117" s="530"/>
      <c r="BM117" s="530"/>
      <c r="BN117" s="530"/>
      <c r="BO117" s="530"/>
      <c r="BP117" s="530"/>
      <c r="BQ117" s="530"/>
      <c r="BR117" s="530"/>
      <c r="BS117" s="530"/>
      <c r="BT117" s="530"/>
      <c r="BU117" s="530"/>
      <c r="BV117" s="530"/>
      <c r="BW117" s="530"/>
      <c r="BX117" s="530"/>
      <c r="BY117" s="530"/>
      <c r="BZ117" s="530"/>
      <c r="CA117" s="530"/>
      <c r="CB117" s="530"/>
    </row>
    <row r="118" spans="1:80">
      <c r="A118" s="542">
        <f t="shared" si="66"/>
        <v>5.5575439658943351</v>
      </c>
      <c r="B118" s="542">
        <f t="shared" si="67"/>
        <v>-6.6357268278525448</v>
      </c>
      <c r="C118" t="str">
        <f t="shared" si="69"/>
        <v>Heat Recovery Refrigeration</v>
      </c>
      <c r="D118" t="str">
        <f t="shared" si="70"/>
        <v>Oregon TieStall</v>
      </c>
      <c r="E118" s="546">
        <f t="shared" si="71"/>
        <v>1.6791154491759383E-3</v>
      </c>
      <c r="F118" s="546">
        <f t="shared" si="78"/>
        <v>2.0616859831431504E-3</v>
      </c>
      <c r="G118" s="546">
        <f t="shared" si="78"/>
        <v>2.5229003065880603E-3</v>
      </c>
      <c r="H118" s="546">
        <f t="shared" si="78"/>
        <v>2.9286897369347762E-3</v>
      </c>
      <c r="I118" s="546">
        <f t="shared" si="78"/>
        <v>3.3405415135593485E-3</v>
      </c>
      <c r="J118" s="546">
        <f t="shared" si="78"/>
        <v>3.9054945720582591E-3</v>
      </c>
      <c r="K118" s="546">
        <f t="shared" si="78"/>
        <v>4.2843881959569808E-3</v>
      </c>
      <c r="L118" s="546">
        <f t="shared" si="78"/>
        <v>4.3768051782762845E-3</v>
      </c>
      <c r="M118" s="546">
        <f t="shared" si="78"/>
        <v>4.1246136161906541E-3</v>
      </c>
      <c r="N118" s="546">
        <f t="shared" si="78"/>
        <v>3.5454547700004861E-3</v>
      </c>
      <c r="O118" s="546">
        <f t="shared" si="78"/>
        <v>2.7436225910562801E-3</v>
      </c>
      <c r="P118" s="546">
        <f t="shared" si="78"/>
        <v>1.8828882299971098E-3</v>
      </c>
      <c r="Q118" s="546">
        <f t="shared" si="78"/>
        <v>1.126734677106728E-3</v>
      </c>
      <c r="R118" s="546">
        <f t="shared" si="78"/>
        <v>5.7691145932154558E-4</v>
      </c>
      <c r="S118" s="546">
        <f t="shared" si="78"/>
        <v>2.4751467401488422E-4</v>
      </c>
      <c r="T118" s="546">
        <f t="shared" si="78"/>
        <v>8.6957004654615033E-5</v>
      </c>
      <c r="U118" s="546">
        <f t="shared" si="78"/>
        <v>2.439442430767408E-5</v>
      </c>
      <c r="V118" s="546">
        <f t="shared" si="78"/>
        <v>5.3168768535871171E-6</v>
      </c>
      <c r="W118" s="546">
        <f t="shared" si="78"/>
        <v>8.739458770905801E-7</v>
      </c>
      <c r="X118" s="546">
        <f t="shared" si="78"/>
        <v>1.0490326000405247E-7</v>
      </c>
      <c r="Y118" s="546">
        <f t="shared" si="72"/>
        <v>3.9049196492463689E-2</v>
      </c>
      <c r="AA118" s="18">
        <f t="shared" ref="AA118:AA120" si="80">SUM(E118:X118)</f>
        <v>3.9465008108333456E-2</v>
      </c>
      <c r="AB118" s="530"/>
      <c r="AC118" s="530"/>
      <c r="AD118" s="530"/>
      <c r="AE118" s="530"/>
      <c r="AF118" s="530"/>
      <c r="AG118" s="530"/>
      <c r="AH118" s="530"/>
      <c r="AI118" s="530"/>
      <c r="AJ118" s="530"/>
      <c r="AK118" s="530"/>
      <c r="AL118" s="530"/>
      <c r="AM118" s="530"/>
      <c r="AN118" s="530"/>
      <c r="AO118" s="530"/>
      <c r="AP118" s="530"/>
      <c r="AQ118" s="530"/>
      <c r="AR118" s="530"/>
      <c r="AS118" s="530"/>
      <c r="AT118" s="530"/>
      <c r="AU118" s="530"/>
      <c r="AV118" s="530"/>
      <c r="AW118" s="530"/>
      <c r="AX118" s="530"/>
      <c r="AY118" s="530"/>
      <c r="AZ118" s="530"/>
      <c r="BA118" s="530"/>
      <c r="BB118" s="530"/>
      <c r="BC118" s="530"/>
      <c r="BD118" s="530"/>
      <c r="BE118" s="530"/>
      <c r="BF118" s="530"/>
      <c r="BG118" s="530"/>
      <c r="BH118" s="530"/>
      <c r="BI118" s="530"/>
      <c r="BJ118" s="530"/>
      <c r="BK118" s="530"/>
      <c r="BL118" s="530"/>
      <c r="BM118" s="530"/>
      <c r="BN118" s="530"/>
      <c r="BO118" s="530"/>
      <c r="BP118" s="530"/>
      <c r="BQ118" s="530"/>
      <c r="BR118" s="530"/>
      <c r="BS118" s="530"/>
      <c r="BT118" s="530"/>
      <c r="BU118" s="530"/>
      <c r="BV118" s="530"/>
      <c r="BW118" s="530"/>
      <c r="BX118" s="530"/>
      <c r="BY118" s="530"/>
      <c r="BZ118" s="530"/>
      <c r="CA118" s="530"/>
      <c r="CB118" s="530"/>
    </row>
    <row r="119" spans="1:80">
      <c r="A119" s="542">
        <f t="shared" si="66"/>
        <v>4.297103134260384</v>
      </c>
      <c r="B119" s="542">
        <f t="shared" si="67"/>
        <v>-7.6191296344260442</v>
      </c>
      <c r="C119" t="str">
        <f t="shared" si="69"/>
        <v>Plate Milk Pre-Cooler</v>
      </c>
      <c r="D119" t="str">
        <f t="shared" si="70"/>
        <v>Oregon TieStall</v>
      </c>
      <c r="E119" s="546">
        <f t="shared" si="71"/>
        <v>8.3278199065694764E-4</v>
      </c>
      <c r="F119" s="546">
        <f t="shared" si="78"/>
        <v>1.0225234709108904E-3</v>
      </c>
      <c r="G119" s="546">
        <f t="shared" si="78"/>
        <v>1.2512694946500266E-3</v>
      </c>
      <c r="H119" s="546">
        <f t="shared" si="78"/>
        <v>1.4525267278900254E-3</v>
      </c>
      <c r="I119" s="546">
        <f t="shared" si="78"/>
        <v>1.6567906708853317E-3</v>
      </c>
      <c r="J119" s="546">
        <f t="shared" si="78"/>
        <v>1.9369874452735089E-3</v>
      </c>
      <c r="K119" s="546">
        <f t="shared" si="78"/>
        <v>2.1249053079270023E-3</v>
      </c>
      <c r="L119" s="546">
        <f t="shared" si="78"/>
        <v>2.170740868873183E-3</v>
      </c>
      <c r="M119" s="546">
        <f t="shared" si="78"/>
        <v>2.0456627563445727E-3</v>
      </c>
      <c r="N119" s="546">
        <f t="shared" si="78"/>
        <v>1.7584204127204131E-3</v>
      </c>
      <c r="O119" s="546">
        <f t="shared" si="78"/>
        <v>1.3607399563338874E-3</v>
      </c>
      <c r="P119" s="546">
        <f t="shared" si="78"/>
        <v>9.3384609684288051E-4</v>
      </c>
      <c r="Q119" s="546">
        <f t="shared" si="78"/>
        <v>5.5882062654099044E-4</v>
      </c>
      <c r="R119" s="546">
        <f t="shared" si="78"/>
        <v>2.8612771906922089E-4</v>
      </c>
      <c r="S119" s="546">
        <f t="shared" si="78"/>
        <v>1.2275854113788387E-4</v>
      </c>
      <c r="T119" s="546">
        <f t="shared" si="78"/>
        <v>4.3127604759622462E-5</v>
      </c>
      <c r="U119" s="546">
        <f t="shared" si="78"/>
        <v>1.2098773342741375E-5</v>
      </c>
      <c r="V119" s="546">
        <f t="shared" si="78"/>
        <v>2.6369832356561102E-6</v>
      </c>
      <c r="W119" s="546">
        <f t="shared" si="78"/>
        <v>4.3344630508111399E-7</v>
      </c>
      <c r="X119" s="546">
        <f t="shared" si="78"/>
        <v>5.2028313916980946E-8</v>
      </c>
      <c r="Y119" s="546">
        <f t="shared" si="72"/>
        <v>1.936702303853367E-2</v>
      </c>
      <c r="AA119" s="18">
        <f t="shared" si="80"/>
        <v>1.9573250922013782E-2</v>
      </c>
      <c r="AB119" s="530"/>
      <c r="AC119" s="530"/>
      <c r="AD119" s="530"/>
      <c r="AE119" s="530"/>
      <c r="AF119" s="530"/>
      <c r="AG119" s="530"/>
      <c r="AH119" s="530"/>
      <c r="AI119" s="530"/>
      <c r="AJ119" s="530"/>
      <c r="AK119" s="530"/>
      <c r="AL119" s="530"/>
      <c r="AM119" s="530"/>
      <c r="AN119" s="530"/>
      <c r="AO119" s="530"/>
      <c r="AP119" s="530"/>
      <c r="AQ119" s="530"/>
      <c r="AR119" s="530"/>
      <c r="AS119" s="530"/>
      <c r="AT119" s="530"/>
      <c r="AU119" s="530"/>
      <c r="AV119" s="530"/>
      <c r="AW119" s="530"/>
      <c r="AX119" s="530"/>
      <c r="AY119" s="530"/>
      <c r="AZ119" s="530"/>
      <c r="BA119" s="530"/>
      <c r="BB119" s="530"/>
      <c r="BC119" s="530"/>
      <c r="BD119" s="530"/>
      <c r="BE119" s="530"/>
      <c r="BF119" s="530"/>
      <c r="BG119" s="530"/>
      <c r="BH119" s="530"/>
      <c r="BI119" s="530"/>
      <c r="BJ119" s="530"/>
      <c r="BK119" s="530"/>
      <c r="BL119" s="530"/>
      <c r="BM119" s="530"/>
      <c r="BN119" s="530"/>
      <c r="BO119" s="530"/>
      <c r="BP119" s="530"/>
      <c r="BQ119" s="530"/>
      <c r="BR119" s="530"/>
      <c r="BS119" s="530"/>
      <c r="BT119" s="530"/>
      <c r="BU119" s="530"/>
      <c r="BV119" s="530"/>
      <c r="BW119" s="530"/>
      <c r="BX119" s="530"/>
      <c r="BY119" s="530"/>
      <c r="BZ119" s="530"/>
      <c r="CA119" s="530"/>
      <c r="CB119" s="530"/>
    </row>
    <row r="120" spans="1:80">
      <c r="A120" s="542">
        <f t="shared" si="66"/>
        <v>3.0449198475183858</v>
      </c>
      <c r="B120" s="542">
        <f t="shared" si="67"/>
        <v>3.9511787212703759</v>
      </c>
      <c r="C120" t="str">
        <f t="shared" si="69"/>
        <v>Energy Efficient Lighting</v>
      </c>
      <c r="D120" t="str">
        <f t="shared" si="70"/>
        <v>Oregon TieStall</v>
      </c>
      <c r="E120" s="546">
        <f t="shared" si="71"/>
        <v>7.8588279399982344E-5</v>
      </c>
      <c r="F120" s="546">
        <f t="shared" si="78"/>
        <v>9.6493873698677546E-5</v>
      </c>
      <c r="G120" s="546">
        <f t="shared" si="78"/>
        <v>1.1808026320629058E-4</v>
      </c>
      <c r="H120" s="546">
        <f t="shared" si="78"/>
        <v>1.3707258034880641E-4</v>
      </c>
      <c r="I120" s="546">
        <f t="shared" si="78"/>
        <v>1.5634863579135248E-4</v>
      </c>
      <c r="J120" s="546">
        <f t="shared" si="78"/>
        <v>1.8279034879624235E-4</v>
      </c>
      <c r="K120" s="546">
        <f t="shared" si="78"/>
        <v>2.0052385127365576E-4</v>
      </c>
      <c r="L120" s="546">
        <f t="shared" si="78"/>
        <v>2.0484927846889541E-4</v>
      </c>
      <c r="M120" s="546">
        <f t="shared" si="78"/>
        <v>1.9304586081037158E-4</v>
      </c>
      <c r="N120" s="546">
        <f t="shared" si="78"/>
        <v>1.6593926891777603E-4</v>
      </c>
      <c r="O120" s="546">
        <f t="shared" si="78"/>
        <v>1.2841081228801327E-4</v>
      </c>
      <c r="P120" s="546">
        <f t="shared" si="78"/>
        <v>8.8125534411926225E-5</v>
      </c>
      <c r="Q120" s="546">
        <f t="shared" si="78"/>
        <v>5.2734991901580891E-5</v>
      </c>
      <c r="R120" s="546">
        <f t="shared" si="78"/>
        <v>2.7001406589680304E-5</v>
      </c>
      <c r="S120" s="546">
        <f t="shared" si="78"/>
        <v>1.1584523486234158E-5</v>
      </c>
      <c r="T120" s="546">
        <f t="shared" si="78"/>
        <v>4.0698817826590102E-6</v>
      </c>
      <c r="U120" s="546">
        <f t="shared" si="78"/>
        <v>1.1417415248213438E-6</v>
      </c>
      <c r="V120" s="546">
        <f t="shared" si="78"/>
        <v>2.4884781085783553E-7</v>
      </c>
      <c r="W120" s="546">
        <f t="shared" si="78"/>
        <v>4.090362148890016E-8</v>
      </c>
      <c r="X120" s="546">
        <f t="shared" si="78"/>
        <v>4.9098272017052007E-9</v>
      </c>
      <c r="Y120" s="546">
        <f t="shared" si="72"/>
        <v>1.8276344046507526E-3</v>
      </c>
      <c r="AA120" s="18">
        <f t="shared" si="80"/>
        <v>1.8470957939565142E-3</v>
      </c>
      <c r="AB120" s="530"/>
      <c r="AC120" s="530"/>
      <c r="AD120" s="530"/>
      <c r="AE120" s="530"/>
      <c r="AF120" s="530"/>
      <c r="AG120" s="530"/>
      <c r="AH120" s="530"/>
      <c r="AI120" s="530"/>
      <c r="AJ120" s="530"/>
      <c r="AK120" s="530"/>
      <c r="AL120" s="530"/>
      <c r="AM120" s="530"/>
      <c r="AN120" s="530"/>
      <c r="AO120" s="530"/>
      <c r="AP120" s="530"/>
      <c r="AQ120" s="530"/>
      <c r="AR120" s="530"/>
      <c r="AS120" s="530"/>
      <c r="AT120" s="530"/>
      <c r="AU120" s="530"/>
      <c r="AV120" s="530"/>
      <c r="AW120" s="530"/>
      <c r="AX120" s="530"/>
      <c r="AY120" s="530"/>
      <c r="AZ120" s="530"/>
      <c r="BA120" s="530"/>
      <c r="BB120" s="530"/>
      <c r="BC120" s="530"/>
      <c r="BD120" s="530"/>
      <c r="BE120" s="530"/>
      <c r="BF120" s="530"/>
      <c r="BG120" s="530"/>
      <c r="BH120" s="530"/>
      <c r="BI120" s="530"/>
      <c r="BJ120" s="530"/>
      <c r="BK120" s="530"/>
      <c r="BL120" s="530"/>
      <c r="BM120" s="530"/>
      <c r="BN120" s="530"/>
      <c r="BO120" s="530"/>
      <c r="BP120" s="530"/>
      <c r="BQ120" s="530"/>
      <c r="BR120" s="530"/>
      <c r="BS120" s="530"/>
      <c r="BT120" s="530"/>
      <c r="BU120" s="530"/>
      <c r="BV120" s="530"/>
      <c r="BW120" s="530"/>
      <c r="BX120" s="530"/>
      <c r="BY120" s="530"/>
      <c r="BZ120" s="530"/>
      <c r="CA120" s="530"/>
      <c r="CB120" s="530"/>
    </row>
    <row r="121" spans="1:80">
      <c r="A121" s="542">
        <f t="shared" si="66"/>
        <v>7.4915370557043142</v>
      </c>
      <c r="B121" s="542">
        <f t="shared" si="67"/>
        <v>-5.4739757676741085</v>
      </c>
      <c r="C121" t="str">
        <f t="shared" si="69"/>
        <v>VSD - Vacuum Pump</v>
      </c>
      <c r="D121" t="str">
        <f t="shared" si="70"/>
        <v>Washington FreeStall</v>
      </c>
      <c r="E121" s="546">
        <f t="shared" ca="1" si="71"/>
        <v>4.9309125772923105E-4</v>
      </c>
      <c r="F121" s="546">
        <f t="shared" ca="1" si="78"/>
        <v>6.160174194082674E-4</v>
      </c>
      <c r="G121" s="546">
        <f t="shared" ca="1" si="78"/>
        <v>7.6796035012722619E-4</v>
      </c>
      <c r="H121" s="546">
        <f t="shared" ca="1" si="78"/>
        <v>9.0545170005677973E-4</v>
      </c>
      <c r="I121" s="546">
        <f t="shared" ca="1" si="78"/>
        <v>1.0496374254628804E-3</v>
      </c>
      <c r="J121" s="546">
        <f t="shared" ca="1" si="78"/>
        <v>1.2438648434634826E-3</v>
      </c>
      <c r="K121" s="546">
        <f t="shared" ca="1" si="78"/>
        <v>1.387580646317879E-3</v>
      </c>
      <c r="L121" s="546">
        <f t="shared" ca="1" si="78"/>
        <v>1.4353734469546534E-3</v>
      </c>
      <c r="M121" s="546">
        <f t="shared" ca="1" si="78"/>
        <v>1.3730840300983441E-3</v>
      </c>
      <c r="N121" s="546">
        <f t="shared" ca="1" si="78"/>
        <v>1.2003499597267328E-3</v>
      </c>
      <c r="O121" s="546">
        <f t="shared" ca="1" si="78"/>
        <v>9.4591836127103253E-4</v>
      </c>
      <c r="P121" s="546">
        <f t="shared" ca="1" si="78"/>
        <v>6.6167353634166302E-4</v>
      </c>
      <c r="Q121" s="546">
        <f t="shared" ca="1" si="78"/>
        <v>4.0288380696678862E-4</v>
      </c>
      <c r="R121" s="546">
        <f t="shared" ca="1" si="78"/>
        <v>2.0991879389956015E-4</v>
      </c>
      <c r="S121" s="546">
        <f t="shared" ca="1" si="78"/>
        <v>9.1562156608765143E-5</v>
      </c>
      <c r="T121" s="546">
        <f t="shared" ca="1" si="78"/>
        <v>3.2799718342561489E-5</v>
      </c>
      <c r="U121" s="546">
        <f t="shared" ca="1" si="78"/>
        <v>9.368667934089493E-6</v>
      </c>
      <c r="V121" s="546">
        <f t="shared" ca="1" si="78"/>
        <v>2.0735483842458449E-6</v>
      </c>
      <c r="W121" s="546">
        <f t="shared" ca="1" si="78"/>
        <v>3.473434194439269E-7</v>
      </c>
      <c r="X121" s="546">
        <f t="shared" ca="1" si="78"/>
        <v>4.227615666065302E-8</v>
      </c>
      <c r="Y121" s="546">
        <f t="shared" ca="1" si="72"/>
        <v>1.5736879371758744E-2</v>
      </c>
      <c r="AA121" s="18">
        <f ca="1">SUM(E121:X121)</f>
        <v>1.2828999288670286E-2</v>
      </c>
      <c r="AB121" s="530"/>
      <c r="AC121" s="530"/>
      <c r="AD121" s="530"/>
      <c r="AE121" s="530"/>
      <c r="AF121" s="530"/>
      <c r="AG121" s="530"/>
      <c r="AH121" s="530"/>
      <c r="AI121" s="530"/>
      <c r="AJ121" s="530"/>
      <c r="AK121" s="530"/>
      <c r="AL121" s="530"/>
      <c r="AM121" s="530"/>
      <c r="AN121" s="530"/>
      <c r="AO121" s="530"/>
      <c r="AP121" s="530"/>
      <c r="AQ121" s="530"/>
      <c r="AR121" s="530"/>
      <c r="AS121" s="530"/>
      <c r="AT121" s="530"/>
      <c r="AU121" s="530"/>
      <c r="AV121" s="530"/>
      <c r="AW121" s="530"/>
      <c r="AX121" s="530"/>
      <c r="AY121" s="530"/>
      <c r="AZ121" s="530"/>
      <c r="BA121" s="530"/>
      <c r="BB121" s="530"/>
      <c r="BC121" s="530"/>
      <c r="BD121" s="530"/>
      <c r="BE121" s="530"/>
      <c r="BF121" s="530"/>
      <c r="BG121" s="530"/>
      <c r="BH121" s="530"/>
      <c r="BI121" s="530"/>
      <c r="BJ121" s="530"/>
      <c r="BK121" s="530"/>
      <c r="BL121" s="530"/>
      <c r="BM121" s="530"/>
      <c r="BN121" s="530"/>
      <c r="BO121" s="530"/>
      <c r="BP121" s="530"/>
      <c r="BQ121" s="530"/>
      <c r="BR121" s="530"/>
      <c r="BS121" s="530"/>
      <c r="BT121" s="530"/>
      <c r="BU121" s="530"/>
      <c r="BV121" s="530"/>
      <c r="BW121" s="530"/>
      <c r="BX121" s="530"/>
      <c r="BY121" s="530"/>
      <c r="BZ121" s="530"/>
      <c r="CA121" s="530"/>
      <c r="CB121" s="530"/>
    </row>
    <row r="122" spans="1:80">
      <c r="A122" s="542">
        <f t="shared" si="66"/>
        <v>4.1447481480335853</v>
      </c>
      <c r="B122" s="542">
        <f t="shared" si="67"/>
        <v>-5.4748497277739405</v>
      </c>
      <c r="C122" t="str">
        <f t="shared" si="69"/>
        <v>Plate Milk Pre-cooler</v>
      </c>
      <c r="D122" t="str">
        <f t="shared" si="70"/>
        <v>Washington FreeStall</v>
      </c>
      <c r="E122" s="546">
        <f t="shared" ca="1" si="71"/>
        <v>5.183321150209563E-3</v>
      </c>
      <c r="F122" s="546">
        <f t="shared" ca="1" si="78"/>
        <v>6.4755074620888014E-3</v>
      </c>
      <c r="G122" s="546">
        <f t="shared" ca="1" si="78"/>
        <v>8.0727148635083585E-3</v>
      </c>
      <c r="H122" s="546">
        <f t="shared" ca="1" si="78"/>
        <v>9.518008834735199E-3</v>
      </c>
      <c r="I122" s="546">
        <f t="shared" ca="1" si="78"/>
        <v>1.1033673345798477E-2</v>
      </c>
      <c r="J122" s="546">
        <f t="shared" ca="1" si="78"/>
        <v>1.3075370633861008E-2</v>
      </c>
      <c r="K122" s="546">
        <f t="shared" ca="1" si="78"/>
        <v>1.4586095370667428E-2</v>
      </c>
      <c r="L122" s="546">
        <f t="shared" ca="1" si="78"/>
        <v>1.5088488042379271E-2</v>
      </c>
      <c r="M122" s="546">
        <f t="shared" ca="1" si="78"/>
        <v>1.4433708532978963E-2</v>
      </c>
      <c r="N122" s="546">
        <f t="shared" ca="1" si="78"/>
        <v>1.2617946954803488E-2</v>
      </c>
      <c r="O122" s="546">
        <f t="shared" ca="1" si="78"/>
        <v>9.9433899333905319E-3</v>
      </c>
      <c r="P122" s="546">
        <f t="shared" ca="1" si="78"/>
        <v>6.9554395493602829E-3</v>
      </c>
      <c r="Q122" s="546">
        <f t="shared" ca="1" si="78"/>
        <v>4.2350703343327746E-3</v>
      </c>
      <c r="R122" s="546">
        <f t="shared" ca="1" si="78"/>
        <v>2.2066433082931739E-3</v>
      </c>
      <c r="S122" s="546">
        <f t="shared" ca="1" si="78"/>
        <v>9.6249133496020226E-4</v>
      </c>
      <c r="T122" s="546">
        <f t="shared" ca="1" si="78"/>
        <v>3.4478703716802283E-4</v>
      </c>
      <c r="U122" s="546">
        <f t="shared" ca="1" si="78"/>
        <v>9.848240846063059E-5</v>
      </c>
      <c r="V122" s="546">
        <f t="shared" ca="1" si="78"/>
        <v>2.179691289912563E-5</v>
      </c>
      <c r="W122" s="546">
        <f t="shared" ca="1" si="78"/>
        <v>3.6512358801105734E-6</v>
      </c>
      <c r="X122" s="546">
        <f t="shared" ca="1" si="78"/>
        <v>4.4440231606999215E-7</v>
      </c>
      <c r="Y122" s="546">
        <f t="shared" ca="1" si="72"/>
        <v>0.16542434773955259</v>
      </c>
      <c r="AA122" s="18">
        <f t="shared" ref="AA122:AA124" ca="1" si="81">SUM(E122:X122)</f>
        <v>0.13485703164809149</v>
      </c>
      <c r="AB122" s="530"/>
      <c r="AC122" s="530"/>
      <c r="AD122" s="530"/>
      <c r="AE122" s="530"/>
      <c r="AF122" s="530"/>
      <c r="AG122" s="530"/>
      <c r="AH122" s="530"/>
      <c r="AI122" s="530"/>
      <c r="AJ122" s="530"/>
      <c r="AK122" s="530"/>
      <c r="AL122" s="530"/>
      <c r="AM122" s="530"/>
      <c r="AN122" s="530"/>
      <c r="AO122" s="530"/>
      <c r="AP122" s="530"/>
      <c r="AQ122" s="530"/>
      <c r="AR122" s="530"/>
      <c r="AS122" s="530"/>
      <c r="AT122" s="530"/>
      <c r="AU122" s="530"/>
      <c r="AV122" s="530"/>
      <c r="AW122" s="530"/>
      <c r="AX122" s="530"/>
      <c r="AY122" s="530"/>
      <c r="AZ122" s="530"/>
      <c r="BA122" s="530"/>
      <c r="BB122" s="530"/>
      <c r="BC122" s="530"/>
      <c r="BD122" s="530"/>
      <c r="BE122" s="530"/>
      <c r="BF122" s="530"/>
      <c r="BG122" s="530"/>
      <c r="BH122" s="530"/>
      <c r="BI122" s="530"/>
      <c r="BJ122" s="530"/>
      <c r="BK122" s="530"/>
      <c r="BL122" s="530"/>
      <c r="BM122" s="530"/>
      <c r="BN122" s="530"/>
      <c r="BO122" s="530"/>
      <c r="BP122" s="530"/>
      <c r="BQ122" s="530"/>
      <c r="BR122" s="530"/>
      <c r="BS122" s="530"/>
      <c r="BT122" s="530"/>
      <c r="BU122" s="530"/>
      <c r="BV122" s="530"/>
      <c r="BW122" s="530"/>
      <c r="BX122" s="530"/>
      <c r="BY122" s="530"/>
      <c r="BZ122" s="530"/>
      <c r="CA122" s="530"/>
      <c r="CB122" s="530"/>
    </row>
    <row r="123" spans="1:80">
      <c r="A123" s="542">
        <f t="shared" si="66"/>
        <v>0.56446323784331998</v>
      </c>
      <c r="B123" s="542">
        <f t="shared" si="67"/>
        <v>4.7413092438539524</v>
      </c>
      <c r="C123" t="str">
        <f t="shared" si="69"/>
        <v>Energy Efficient Lighting</v>
      </c>
      <c r="D123" t="str">
        <f t="shared" si="70"/>
        <v>Washington FreeStall</v>
      </c>
      <c r="E123" s="546">
        <f t="shared" ca="1" si="71"/>
        <v>3.358059170733381E-3</v>
      </c>
      <c r="F123" s="546">
        <f t="shared" ca="1" si="78"/>
        <v>4.1952131824478144E-3</v>
      </c>
      <c r="G123" s="546">
        <f t="shared" ca="1" si="78"/>
        <v>5.2299777294377951E-3</v>
      </c>
      <c r="H123" s="546">
        <f t="shared" ca="1" si="78"/>
        <v>6.1663238546026886E-3</v>
      </c>
      <c r="I123" s="546">
        <f t="shared" ca="1" si="78"/>
        <v>7.1482601390108784E-3</v>
      </c>
      <c r="J123" s="546">
        <f t="shared" ca="1" si="78"/>
        <v>8.4709912805614376E-3</v>
      </c>
      <c r="K123" s="546">
        <f t="shared" ca="1" si="78"/>
        <v>9.4497272897476458E-3</v>
      </c>
      <c r="L123" s="546">
        <f t="shared" ca="1" si="78"/>
        <v>9.7752067014339142E-3</v>
      </c>
      <c r="M123" s="546">
        <f t="shared" ca="1" si="78"/>
        <v>9.3510021668063211E-3</v>
      </c>
      <c r="N123" s="546">
        <f t="shared" ca="1" si="78"/>
        <v>8.1746454173868971E-3</v>
      </c>
      <c r="O123" s="546">
        <f t="shared" ca="1" si="78"/>
        <v>6.4419106565777951E-3</v>
      </c>
      <c r="P123" s="546">
        <f t="shared" ca="1" si="78"/>
        <v>4.5061413113996656E-3</v>
      </c>
      <c r="Q123" s="546">
        <f t="shared" ca="1" si="78"/>
        <v>2.7437267270873362E-3</v>
      </c>
      <c r="R123" s="546">
        <f t="shared" ca="1" si="78"/>
        <v>1.4295928388793249E-3</v>
      </c>
      <c r="S123" s="546">
        <f t="shared" ca="1" si="78"/>
        <v>6.2355828636700365E-4</v>
      </c>
      <c r="T123" s="546">
        <f t="shared" ca="1" si="78"/>
        <v>2.2337324633362902E-4</v>
      </c>
      <c r="U123" s="546">
        <f t="shared" ca="1" si="78"/>
        <v>6.3802675023090264E-5</v>
      </c>
      <c r="V123" s="546">
        <f t="shared" ca="1" si="78"/>
        <v>1.4121317420516421E-5</v>
      </c>
      <c r="W123" s="546">
        <f t="shared" ca="1" si="78"/>
        <v>2.3654845564065342E-6</v>
      </c>
      <c r="X123" s="546">
        <f t="shared" ca="1" si="78"/>
        <v>2.879098612119869E-7</v>
      </c>
      <c r="Y123" s="546">
        <f t="shared" ca="1" si="72"/>
        <v>0.10717158591783055</v>
      </c>
      <c r="AA123" s="18">
        <f t="shared" ca="1" si="81"/>
        <v>8.7368287385674773E-2</v>
      </c>
      <c r="AB123" s="530"/>
      <c r="AC123" s="530"/>
      <c r="AD123" s="530"/>
      <c r="AE123" s="530"/>
      <c r="AF123" s="530"/>
      <c r="AG123" s="530"/>
      <c r="AH123" s="530"/>
      <c r="AI123" s="530"/>
      <c r="AJ123" s="530"/>
      <c r="AK123" s="530"/>
      <c r="AL123" s="530"/>
      <c r="AM123" s="530"/>
      <c r="AN123" s="530"/>
      <c r="AO123" s="530"/>
      <c r="AP123" s="530"/>
      <c r="AQ123" s="530"/>
      <c r="AR123" s="530"/>
      <c r="AS123" s="530"/>
      <c r="AT123" s="530"/>
      <c r="AU123" s="530"/>
      <c r="AV123" s="530"/>
      <c r="AW123" s="530"/>
      <c r="AX123" s="530"/>
      <c r="AY123" s="530"/>
      <c r="AZ123" s="530"/>
      <c r="BA123" s="530"/>
      <c r="BB123" s="530"/>
      <c r="BC123" s="530"/>
      <c r="BD123" s="530"/>
      <c r="BE123" s="530"/>
      <c r="BF123" s="530"/>
      <c r="BG123" s="530"/>
      <c r="BH123" s="530"/>
      <c r="BI123" s="530"/>
      <c r="BJ123" s="530"/>
      <c r="BK123" s="530"/>
      <c r="BL123" s="530"/>
      <c r="BM123" s="530"/>
      <c r="BN123" s="530"/>
      <c r="BO123" s="530"/>
      <c r="BP123" s="530"/>
      <c r="BQ123" s="530"/>
      <c r="BR123" s="530"/>
      <c r="BS123" s="530"/>
      <c r="BT123" s="530"/>
      <c r="BU123" s="530"/>
      <c r="BV123" s="530"/>
      <c r="BW123" s="530"/>
      <c r="BX123" s="530"/>
      <c r="BY123" s="530"/>
      <c r="BZ123" s="530"/>
      <c r="CA123" s="530"/>
      <c r="CB123" s="530"/>
    </row>
    <row r="124" spans="1:80">
      <c r="A124" s="542">
        <f t="shared" si="66"/>
        <v>5.2516901160200797</v>
      </c>
      <c r="B124" s="542">
        <f t="shared" si="67"/>
        <v>-6.6853843794400083</v>
      </c>
      <c r="C124" t="str">
        <f t="shared" si="69"/>
        <v>VSD - Vacuum Pump</v>
      </c>
      <c r="D124" t="str">
        <f t="shared" si="70"/>
        <v>Washington TieStall</v>
      </c>
      <c r="E124" s="546">
        <f t="shared" si="71"/>
        <v>3.7740383302375019E-4</v>
      </c>
      <c r="F124" s="546">
        <f t="shared" si="78"/>
        <v>4.6339171789017071E-4</v>
      </c>
      <c r="G124" s="546">
        <f t="shared" si="78"/>
        <v>5.6705585462299055E-4</v>
      </c>
      <c r="H124" s="546">
        <f t="shared" si="78"/>
        <v>6.5826249946002939E-4</v>
      </c>
      <c r="I124" s="546">
        <f t="shared" si="78"/>
        <v>7.5083173834830121E-4</v>
      </c>
      <c r="J124" s="546">
        <f t="shared" si="78"/>
        <v>8.7781255426576496E-4</v>
      </c>
      <c r="K124" s="546">
        <f t="shared" si="78"/>
        <v>9.6297400402659916E-4</v>
      </c>
      <c r="L124" s="546">
        <f t="shared" si="78"/>
        <v>9.8374596665782308E-4</v>
      </c>
      <c r="M124" s="546">
        <f t="shared" si="78"/>
        <v>9.2706251333478048E-4</v>
      </c>
      <c r="N124" s="546">
        <f t="shared" si="78"/>
        <v>7.9688875512830726E-4</v>
      </c>
      <c r="O124" s="546">
        <f t="shared" si="78"/>
        <v>6.1666616357044666E-4</v>
      </c>
      <c r="P124" s="546">
        <f t="shared" si="78"/>
        <v>4.2320451253364405E-4</v>
      </c>
      <c r="Q124" s="546">
        <f t="shared" si="78"/>
        <v>2.5324880796585451E-4</v>
      </c>
      <c r="R124" s="546">
        <f t="shared" si="78"/>
        <v>1.296686277111747E-4</v>
      </c>
      <c r="S124" s="546">
        <f t="shared" si="78"/>
        <v>5.5632259680944363E-5</v>
      </c>
      <c r="T124" s="546">
        <f t="shared" si="78"/>
        <v>1.9544759046212031E-5</v>
      </c>
      <c r="U124" s="546">
        <f t="shared" si="78"/>
        <v>5.4829757195327164E-6</v>
      </c>
      <c r="V124" s="546">
        <f t="shared" si="78"/>
        <v>1.1950397486032431E-6</v>
      </c>
      <c r="W124" s="546">
        <f t="shared" si="78"/>
        <v>1.9643111736668233E-7</v>
      </c>
      <c r="X124" s="546">
        <f t="shared" si="78"/>
        <v>2.3578421865897631E-8</v>
      </c>
      <c r="Y124" s="546">
        <f t="shared" si="72"/>
        <v>8.7768333261337237E-3</v>
      </c>
      <c r="AA124" s="18">
        <f t="shared" si="81"/>
        <v>8.8702925922741621E-3</v>
      </c>
      <c r="AB124" s="530"/>
      <c r="AC124" s="530"/>
      <c r="AD124" s="530"/>
      <c r="AE124" s="530"/>
      <c r="AF124" s="530"/>
      <c r="AG124" s="530"/>
      <c r="AH124" s="530"/>
      <c r="AI124" s="530"/>
      <c r="AJ124" s="530"/>
      <c r="AK124" s="530"/>
      <c r="AL124" s="530"/>
      <c r="AM124" s="530"/>
      <c r="AN124" s="530"/>
      <c r="AO124" s="530"/>
      <c r="AP124" s="530"/>
      <c r="AQ124" s="530"/>
      <c r="AR124" s="530"/>
      <c r="AS124" s="530"/>
      <c r="AT124" s="530"/>
      <c r="AU124" s="530"/>
      <c r="AV124" s="530"/>
      <c r="AW124" s="530"/>
      <c r="AX124" s="530"/>
      <c r="AY124" s="530"/>
      <c r="AZ124" s="530"/>
      <c r="BA124" s="530"/>
      <c r="BB124" s="530"/>
      <c r="BC124" s="530"/>
      <c r="BD124" s="530"/>
      <c r="BE124" s="530"/>
      <c r="BF124" s="530"/>
      <c r="BG124" s="530"/>
      <c r="BH124" s="530"/>
      <c r="BI124" s="530"/>
      <c r="BJ124" s="530"/>
      <c r="BK124" s="530"/>
      <c r="BL124" s="530"/>
      <c r="BM124" s="530"/>
      <c r="BN124" s="530"/>
      <c r="BO124" s="530"/>
      <c r="BP124" s="530"/>
      <c r="BQ124" s="530"/>
      <c r="BR124" s="530"/>
      <c r="BS124" s="530"/>
      <c r="BT124" s="530"/>
      <c r="BU124" s="530"/>
      <c r="BV124" s="530"/>
      <c r="BW124" s="530"/>
      <c r="BX124" s="530"/>
      <c r="BY124" s="530"/>
      <c r="BZ124" s="530"/>
      <c r="CA124" s="530"/>
      <c r="CB124" s="530"/>
    </row>
    <row r="125" spans="1:80">
      <c r="A125" s="542">
        <f t="shared" si="66"/>
        <v>5.5575439658943351</v>
      </c>
      <c r="B125" s="542">
        <f t="shared" si="67"/>
        <v>-6.6357268278525448</v>
      </c>
      <c r="C125" t="str">
        <f t="shared" si="69"/>
        <v>Heat Recovery Refrigeration</v>
      </c>
      <c r="D125" t="str">
        <f t="shared" si="70"/>
        <v>Washington TieStall</v>
      </c>
      <c r="E125" s="546">
        <f t="shared" si="71"/>
        <v>2.0948935975362375E-3</v>
      </c>
      <c r="F125" s="546">
        <f t="shared" si="78"/>
        <v>2.5721952402596483E-3</v>
      </c>
      <c r="G125" s="546">
        <f t="shared" si="78"/>
        <v>3.1476142406332863E-3</v>
      </c>
      <c r="H125" s="546">
        <f t="shared" si="78"/>
        <v>3.6538841817492528E-3</v>
      </c>
      <c r="I125" s="546">
        <f t="shared" si="78"/>
        <v>4.1677176113732693E-3</v>
      </c>
      <c r="J125" s="546">
        <f t="shared" si="78"/>
        <v>4.8725628593511367E-3</v>
      </c>
      <c r="K125" s="546">
        <f t="shared" si="78"/>
        <v>5.3452771252119405E-3</v>
      </c>
      <c r="L125" s="546">
        <f t="shared" si="78"/>
        <v>5.4605781574663583E-3</v>
      </c>
      <c r="M125" s="546">
        <f t="shared" si="78"/>
        <v>5.1459395845051426E-3</v>
      </c>
      <c r="N125" s="546">
        <f t="shared" si="78"/>
        <v>4.4233709490752778E-3</v>
      </c>
      <c r="O125" s="546">
        <f t="shared" si="78"/>
        <v>3.4229911962755997E-3</v>
      </c>
      <c r="P125" s="546">
        <f t="shared" si="78"/>
        <v>2.349124058046818E-3</v>
      </c>
      <c r="Q125" s="546">
        <f t="shared" si="78"/>
        <v>1.405733752465536E-3</v>
      </c>
      <c r="R125" s="546">
        <f t="shared" si="78"/>
        <v>7.1976475653959618E-4</v>
      </c>
      <c r="S125" s="546">
        <f t="shared" si="78"/>
        <v>3.0880360617521768E-4</v>
      </c>
      <c r="T125" s="546">
        <f t="shared" si="78"/>
        <v>1.0848906929019301E-4</v>
      </c>
      <c r="U125" s="546">
        <f t="shared" si="78"/>
        <v>3.0434907452497718E-5</v>
      </c>
      <c r="V125" s="546">
        <f t="shared" si="78"/>
        <v>6.6334279068986148E-6</v>
      </c>
      <c r="W125" s="546">
        <f t="shared" si="78"/>
        <v>1.0903500550892819E-6</v>
      </c>
      <c r="X125" s="546">
        <f t="shared" si="78"/>
        <v>1.3087912915757003E-7</v>
      </c>
      <c r="Y125" s="546">
        <f t="shared" si="72"/>
        <v>4.8718455756656703E-2</v>
      </c>
      <c r="AA125" s="18">
        <f t="shared" ref="AA125:AA127" si="82">SUM(E125:X125)</f>
        <v>4.9237229550498161E-2</v>
      </c>
      <c r="AB125" s="530"/>
      <c r="AC125" s="530"/>
      <c r="AD125" s="530"/>
      <c r="AE125" s="530"/>
      <c r="AF125" s="530"/>
      <c r="AG125" s="530"/>
      <c r="AH125" s="530"/>
      <c r="AI125" s="530"/>
      <c r="AJ125" s="530"/>
      <c r="AK125" s="530"/>
      <c r="AL125" s="530"/>
      <c r="AM125" s="530"/>
      <c r="AN125" s="530"/>
      <c r="AO125" s="530"/>
      <c r="AP125" s="530"/>
      <c r="AQ125" s="530"/>
      <c r="AR125" s="530"/>
      <c r="AS125" s="530"/>
      <c r="AT125" s="530"/>
      <c r="AU125" s="530"/>
      <c r="AV125" s="530"/>
      <c r="AW125" s="530"/>
      <c r="AX125" s="530"/>
      <c r="AY125" s="530"/>
      <c r="AZ125" s="530"/>
      <c r="BA125" s="530"/>
      <c r="BB125" s="530"/>
      <c r="BC125" s="530"/>
      <c r="BD125" s="530"/>
      <c r="BE125" s="530"/>
      <c r="BF125" s="530"/>
      <c r="BG125" s="530"/>
      <c r="BH125" s="530"/>
      <c r="BI125" s="530"/>
      <c r="BJ125" s="530"/>
      <c r="BK125" s="530"/>
      <c r="BL125" s="530"/>
      <c r="BM125" s="530"/>
      <c r="BN125" s="530"/>
      <c r="BO125" s="530"/>
      <c r="BP125" s="530"/>
      <c r="BQ125" s="530"/>
      <c r="BR125" s="530"/>
      <c r="BS125" s="530"/>
      <c r="BT125" s="530"/>
      <c r="BU125" s="530"/>
      <c r="BV125" s="530"/>
      <c r="BW125" s="530"/>
      <c r="BX125" s="530"/>
      <c r="BY125" s="530"/>
      <c r="BZ125" s="530"/>
      <c r="CA125" s="530"/>
      <c r="CB125" s="530"/>
    </row>
    <row r="126" spans="1:80">
      <c r="A126" s="542">
        <f t="shared" si="66"/>
        <v>4.297103134260384</v>
      </c>
      <c r="B126" s="542">
        <f t="shared" si="67"/>
        <v>-7.6191296344260442</v>
      </c>
      <c r="C126" t="str">
        <f t="shared" si="69"/>
        <v>Plate Milk Pre-Cooler</v>
      </c>
      <c r="D126" t="str">
        <f t="shared" si="70"/>
        <v>Washington TieStall</v>
      </c>
      <c r="E126" s="546">
        <f t="shared" si="71"/>
        <v>1.0389932754337513E-3</v>
      </c>
      <c r="F126" s="546">
        <f t="shared" si="78"/>
        <v>1.275718041658795E-3</v>
      </c>
      <c r="G126" s="546">
        <f t="shared" si="78"/>
        <v>1.5611055537730844E-3</v>
      </c>
      <c r="H126" s="546">
        <f t="shared" si="78"/>
        <v>1.8121975734309618E-3</v>
      </c>
      <c r="I126" s="546">
        <f t="shared" si="78"/>
        <v>2.0670408164005748E-3</v>
      </c>
      <c r="J126" s="546">
        <f t="shared" si="78"/>
        <v>2.4166191786294334E-3</v>
      </c>
      <c r="K126" s="546">
        <f t="shared" ref="F126:X127" si="83">VLOOKUP($C126&amp;$D126,$B$62:$Y$89,K$26+1,FALSE)*$C$98*$A126/8760/1000</f>
        <v>2.6510687678632759E-3</v>
      </c>
      <c r="L126" s="546">
        <f t="shared" si="83"/>
        <v>2.7082540097790476E-3</v>
      </c>
      <c r="M126" s="546">
        <f t="shared" si="83"/>
        <v>2.5522043842117906E-3</v>
      </c>
      <c r="N126" s="546">
        <f t="shared" si="83"/>
        <v>2.1938358474355522E-3</v>
      </c>
      <c r="O126" s="546">
        <f t="shared" si="83"/>
        <v>1.6976828030702694E-3</v>
      </c>
      <c r="P126" s="546">
        <f t="shared" si="83"/>
        <v>1.1650826096088009E-3</v>
      </c>
      <c r="Q126" s="546">
        <f t="shared" si="83"/>
        <v>6.9719431935811259E-4</v>
      </c>
      <c r="R126" s="546">
        <f t="shared" si="83"/>
        <v>3.5697791182251937E-4</v>
      </c>
      <c r="S126" s="546">
        <f t="shared" si="83"/>
        <v>1.5315568801350235E-4</v>
      </c>
      <c r="T126" s="546">
        <f t="shared" si="83"/>
        <v>5.3806748745207816E-5</v>
      </c>
      <c r="U126" s="546">
        <f t="shared" si="83"/>
        <v>1.5094639755824966E-5</v>
      </c>
      <c r="V126" s="546">
        <f t="shared" si="83"/>
        <v>3.289946084349052E-6</v>
      </c>
      <c r="W126" s="546">
        <f t="shared" si="83"/>
        <v>5.4077513838360343E-7</v>
      </c>
      <c r="X126" s="546">
        <f t="shared" si="83"/>
        <v>6.4911428078861383E-8</v>
      </c>
      <c r="Y126" s="546">
        <f t="shared" si="72"/>
        <v>2.4162634312412831E-2</v>
      </c>
      <c r="AA126" s="18">
        <f t="shared" si="82"/>
        <v>2.4419927801641317E-2</v>
      </c>
      <c r="AB126" s="530"/>
      <c r="AC126" s="530"/>
      <c r="AD126" s="530"/>
      <c r="AE126" s="530"/>
      <c r="AF126" s="530"/>
      <c r="AG126" s="530"/>
      <c r="AH126" s="530"/>
      <c r="AI126" s="530"/>
      <c r="AJ126" s="530"/>
      <c r="AK126" s="530"/>
      <c r="AL126" s="530"/>
      <c r="AM126" s="530"/>
      <c r="AN126" s="530"/>
      <c r="AO126" s="530"/>
      <c r="AP126" s="530"/>
      <c r="AQ126" s="530"/>
      <c r="AR126" s="530"/>
      <c r="AS126" s="530"/>
      <c r="AT126" s="530"/>
      <c r="AU126" s="530"/>
      <c r="AV126" s="530"/>
      <c r="AW126" s="530"/>
      <c r="AX126" s="530"/>
      <c r="AY126" s="530"/>
      <c r="AZ126" s="530"/>
      <c r="BA126" s="530"/>
      <c r="BB126" s="530"/>
      <c r="BC126" s="530"/>
      <c r="BD126" s="530"/>
      <c r="BE126" s="530"/>
      <c r="BF126" s="530"/>
      <c r="BG126" s="530"/>
      <c r="BH126" s="530"/>
      <c r="BI126" s="530"/>
      <c r="BJ126" s="530"/>
      <c r="BK126" s="530"/>
      <c r="BL126" s="530"/>
      <c r="BM126" s="530"/>
      <c r="BN126" s="530"/>
      <c r="BO126" s="530"/>
      <c r="BP126" s="530"/>
      <c r="BQ126" s="530"/>
      <c r="BR126" s="530"/>
      <c r="BS126" s="530"/>
      <c r="BT126" s="530"/>
      <c r="BU126" s="530"/>
      <c r="BV126" s="530"/>
      <c r="BW126" s="530"/>
      <c r="BX126" s="530"/>
      <c r="BY126" s="530"/>
      <c r="BZ126" s="530"/>
      <c r="CA126" s="530"/>
      <c r="CB126" s="530"/>
    </row>
    <row r="127" spans="1:80">
      <c r="A127" s="542">
        <f t="shared" si="66"/>
        <v>3.0449198475183858</v>
      </c>
      <c r="B127" s="542">
        <f t="shared" si="67"/>
        <v>3.9511787212703759</v>
      </c>
      <c r="C127" t="str">
        <f t="shared" si="69"/>
        <v>Energy Efficient Lighting</v>
      </c>
      <c r="D127" t="str">
        <f t="shared" si="70"/>
        <v>Washington TieStall</v>
      </c>
      <c r="E127" s="546">
        <f t="shared" si="71"/>
        <v>9.8048102313161219E-5</v>
      </c>
      <c r="F127" s="546">
        <f t="shared" si="83"/>
        <v>1.2038743274742463E-4</v>
      </c>
      <c r="G127" s="546">
        <f t="shared" si="83"/>
        <v>1.4731898721297086E-4</v>
      </c>
      <c r="H127" s="546">
        <f t="shared" si="83"/>
        <v>1.7101413194156026E-4</v>
      </c>
      <c r="I127" s="546">
        <f t="shared" si="83"/>
        <v>1.9506327350127931E-4</v>
      </c>
      <c r="J127" s="546">
        <f t="shared" si="83"/>
        <v>2.2805241389005929E-4</v>
      </c>
      <c r="K127" s="546">
        <f t="shared" si="83"/>
        <v>2.5017703957917346E-4</v>
      </c>
      <c r="L127" s="546">
        <f t="shared" si="83"/>
        <v>2.5557351767266232E-4</v>
      </c>
      <c r="M127" s="546">
        <f t="shared" si="83"/>
        <v>2.4084736879825168E-4</v>
      </c>
      <c r="N127" s="546">
        <f t="shared" si="83"/>
        <v>2.0702871396144771E-4</v>
      </c>
      <c r="O127" s="546">
        <f t="shared" si="83"/>
        <v>1.6020755966994856E-4</v>
      </c>
      <c r="P127" s="546">
        <f t="shared" si="83"/>
        <v>1.099469473106252E-4</v>
      </c>
      <c r="Q127" s="546">
        <f t="shared" si="83"/>
        <v>6.5793091806143957E-5</v>
      </c>
      <c r="R127" s="546">
        <f t="shared" si="83"/>
        <v>3.3687423826011821E-5</v>
      </c>
      <c r="S127" s="546">
        <f t="shared" si="83"/>
        <v>1.4453052703273217E-5</v>
      </c>
      <c r="T127" s="546">
        <f t="shared" si="83"/>
        <v>5.0776551983998682E-6</v>
      </c>
      <c r="U127" s="546">
        <f t="shared" si="83"/>
        <v>1.4244565563156096E-6</v>
      </c>
      <c r="V127" s="546">
        <f t="shared" si="83"/>
        <v>3.1046685085461649E-7</v>
      </c>
      <c r="W127" s="546">
        <f t="shared" si="83"/>
        <v>5.1032068590159299E-8</v>
      </c>
      <c r="X127" s="546">
        <f t="shared" si="83"/>
        <v>6.1255856915076038E-9</v>
      </c>
      <c r="Y127" s="546">
        <f t="shared" si="72"/>
        <v>2.2801884258874701E-3</v>
      </c>
      <c r="AA127" s="18">
        <f t="shared" si="82"/>
        <v>2.3044687931938453E-3</v>
      </c>
      <c r="AB127" s="530"/>
      <c r="AC127" s="530"/>
      <c r="AD127" s="530"/>
      <c r="AE127" s="530"/>
      <c r="AF127" s="530"/>
      <c r="AG127" s="530"/>
      <c r="AH127" s="530"/>
      <c r="AI127" s="530"/>
      <c r="AJ127" s="530"/>
      <c r="AK127" s="530"/>
      <c r="AL127" s="530"/>
      <c r="AM127" s="530"/>
      <c r="AN127" s="530"/>
      <c r="AO127" s="530"/>
      <c r="AP127" s="530"/>
      <c r="AQ127" s="530"/>
      <c r="AR127" s="530"/>
      <c r="AS127" s="530"/>
      <c r="AT127" s="530"/>
      <c r="AU127" s="530"/>
      <c r="AV127" s="530"/>
      <c r="AW127" s="530"/>
      <c r="AX127" s="530"/>
      <c r="AY127" s="530"/>
      <c r="AZ127" s="530"/>
      <c r="BA127" s="530"/>
      <c r="BB127" s="530"/>
      <c r="BC127" s="530"/>
      <c r="BD127" s="530"/>
      <c r="BE127" s="530"/>
      <c r="BF127" s="530"/>
      <c r="BG127" s="530"/>
      <c r="BH127" s="530"/>
      <c r="BI127" s="530"/>
      <c r="BJ127" s="530"/>
      <c r="BK127" s="530"/>
      <c r="BL127" s="530"/>
      <c r="BM127" s="530"/>
      <c r="BN127" s="530"/>
      <c r="BO127" s="530"/>
      <c r="BP127" s="530"/>
      <c r="BQ127" s="530"/>
      <c r="BR127" s="530"/>
      <c r="BS127" s="530"/>
      <c r="BT127" s="530"/>
      <c r="BU127" s="530"/>
      <c r="BV127" s="530"/>
      <c r="BW127" s="530"/>
      <c r="BX127" s="530"/>
      <c r="BY127" s="530"/>
      <c r="BZ127" s="530"/>
      <c r="CA127" s="530"/>
      <c r="CB127" s="530"/>
    </row>
    <row r="128" spans="1:80">
      <c r="A128" s="545"/>
      <c r="B128" s="545"/>
      <c r="E128" s="546"/>
      <c r="F128" s="546"/>
      <c r="G128" s="546"/>
      <c r="H128" s="546"/>
      <c r="I128" s="546"/>
      <c r="J128" s="546"/>
      <c r="K128" s="546"/>
      <c r="L128" s="546"/>
      <c r="M128" s="546"/>
      <c r="N128" s="546"/>
      <c r="O128" s="546"/>
      <c r="P128" s="546"/>
      <c r="Q128" s="546"/>
      <c r="R128" s="546"/>
      <c r="S128" s="546"/>
      <c r="T128" s="546"/>
      <c r="U128" s="546"/>
      <c r="V128" s="546"/>
      <c r="W128" s="546"/>
      <c r="X128" s="546"/>
      <c r="Y128" s="546"/>
      <c r="AA128" s="18"/>
      <c r="AB128" s="530"/>
      <c r="AC128" s="530"/>
      <c r="AD128" s="530"/>
      <c r="AE128" s="530"/>
      <c r="AF128" s="530"/>
      <c r="AG128" s="530"/>
      <c r="AH128" s="530"/>
      <c r="AI128" s="530"/>
      <c r="AJ128" s="530"/>
      <c r="AK128" s="530"/>
      <c r="AL128" s="530"/>
      <c r="AM128" s="530"/>
      <c r="AN128" s="530"/>
      <c r="AO128" s="530"/>
      <c r="AP128" s="530"/>
      <c r="AQ128" s="530"/>
      <c r="AR128" s="530"/>
      <c r="AS128" s="530"/>
      <c r="AT128" s="530"/>
      <c r="AU128" s="530"/>
      <c r="AV128" s="530"/>
      <c r="AW128" s="530"/>
      <c r="AX128" s="530"/>
      <c r="AY128" s="530"/>
      <c r="AZ128" s="530"/>
      <c r="BA128" s="530"/>
      <c r="BB128" s="530"/>
      <c r="BC128" s="530"/>
      <c r="BD128" s="530"/>
      <c r="BE128" s="530"/>
      <c r="BF128" s="530"/>
      <c r="BG128" s="530"/>
      <c r="BH128" s="530"/>
      <c r="BI128" s="530"/>
      <c r="BJ128" s="530"/>
      <c r="BK128" s="530"/>
      <c r="BL128" s="530"/>
      <c r="BM128" s="530"/>
      <c r="BN128" s="530"/>
      <c r="BO128" s="530"/>
      <c r="BP128" s="530"/>
      <c r="BQ128" s="530"/>
      <c r="BR128" s="530"/>
      <c r="BS128" s="530"/>
      <c r="BT128" s="530"/>
      <c r="BU128" s="530"/>
      <c r="BV128" s="530"/>
      <c r="BW128" s="530"/>
      <c r="BX128" s="530"/>
      <c r="BY128" s="530"/>
      <c r="BZ128" s="530"/>
      <c r="CA128" s="530"/>
      <c r="CB128" s="530"/>
    </row>
    <row r="129" spans="1:80">
      <c r="AA129" s="538"/>
      <c r="AB129" s="530"/>
      <c r="AC129" s="530"/>
      <c r="AD129" s="530"/>
      <c r="AE129" s="530"/>
      <c r="AF129" s="530"/>
      <c r="AG129" s="530"/>
      <c r="AH129" s="530"/>
      <c r="AI129" s="530"/>
      <c r="AJ129" s="530"/>
      <c r="AK129" s="530"/>
      <c r="AL129" s="530"/>
      <c r="AM129" s="530"/>
      <c r="AN129" s="530"/>
      <c r="AO129" s="530"/>
      <c r="AP129" s="530"/>
      <c r="AQ129" s="530"/>
      <c r="AR129" s="530"/>
      <c r="AS129" s="530"/>
      <c r="AT129" s="530"/>
      <c r="AU129" s="530"/>
      <c r="AV129" s="530"/>
      <c r="AW129" s="530"/>
      <c r="AX129" s="530"/>
      <c r="AY129" s="530"/>
      <c r="AZ129" s="530"/>
      <c r="BA129" s="530"/>
      <c r="BB129" s="530"/>
      <c r="BC129" s="530"/>
      <c r="BD129" s="530"/>
      <c r="BE129" s="530"/>
      <c r="BF129" s="530"/>
      <c r="BG129" s="530"/>
      <c r="BH129" s="530"/>
      <c r="BI129" s="530"/>
      <c r="BJ129" s="530"/>
      <c r="BK129" s="530"/>
      <c r="BL129" s="530"/>
      <c r="BM129" s="530"/>
      <c r="BN129" s="530"/>
      <c r="BO129" s="530"/>
      <c r="BP129" s="530"/>
      <c r="BQ129" s="530"/>
      <c r="BR129" s="530"/>
      <c r="BS129" s="530"/>
      <c r="BT129" s="530"/>
      <c r="BU129" s="530"/>
      <c r="BV129" s="530"/>
      <c r="BW129" s="530"/>
      <c r="BX129" s="530"/>
      <c r="BY129" s="530"/>
      <c r="BZ129" s="530"/>
      <c r="CA129" s="530"/>
      <c r="CB129" s="530"/>
    </row>
    <row r="130" spans="1:80">
      <c r="B130" s="547">
        <f ca="1">SUMPRODUCT($B$100:$B$128,$AA$100:$AA$128)/AA130</f>
        <v>-3.165351332979343</v>
      </c>
      <c r="E130" s="18">
        <f t="shared" ref="E130:Y130" ca="1" si="84">SUM(E100:E128)</f>
        <v>4.7411583875743547E-2</v>
      </c>
      <c r="F130" s="18">
        <f t="shared" ca="1" si="84"/>
        <v>5.8849301092899979E-2</v>
      </c>
      <c r="G130" s="18">
        <f t="shared" ca="1" si="84"/>
        <v>7.2739674831915291E-2</v>
      </c>
      <c r="H130" s="18">
        <f t="shared" ca="1" si="84"/>
        <v>8.5389162333465538E-2</v>
      </c>
      <c r="I130" s="18">
        <f t="shared" ca="1" si="84"/>
        <v>9.8509637300292746E-2</v>
      </c>
      <c r="J130" s="18">
        <f t="shared" ca="1" si="84"/>
        <v>0.11649799916880522</v>
      </c>
      <c r="K130" s="18">
        <f t="shared" ca="1" si="84"/>
        <v>0.1293359749268389</v>
      </c>
      <c r="L130" s="18">
        <f t="shared" ca="1" si="84"/>
        <v>0.13374584384196297</v>
      </c>
      <c r="M130" s="18">
        <f t="shared" ca="1" si="84"/>
        <v>0.12772168953465229</v>
      </c>
      <c r="N130" s="18">
        <f t="shared" ca="1" si="84"/>
        <v>0.11134947704273492</v>
      </c>
      <c r="O130" s="18">
        <f t="shared" ca="1" si="84"/>
        <v>8.7565622651880351E-2</v>
      </c>
      <c r="P130" s="18">
        <f t="shared" ca="1" si="84"/>
        <v>6.0983521166841519E-2</v>
      </c>
      <c r="Q130" s="18">
        <f t="shared" ca="1" si="84"/>
        <v>3.7041699258462478E-2</v>
      </c>
      <c r="R130" s="18">
        <f t="shared" ca="1" si="84"/>
        <v>1.921602692044078E-2</v>
      </c>
      <c r="S130" s="18">
        <f t="shared" ca="1" si="84"/>
        <v>8.3551169406581704E-3</v>
      </c>
      <c r="T130" s="18">
        <f t="shared" ca="1" si="84"/>
        <v>2.9766542723959075E-3</v>
      </c>
      <c r="U130" s="18">
        <f t="shared" ca="1" si="84"/>
        <v>8.4597672810473494E-4</v>
      </c>
      <c r="V130" s="18">
        <f t="shared" ca="1" si="84"/>
        <v>1.8659730407723403E-4</v>
      </c>
      <c r="W130" s="18">
        <f t="shared" ca="1" si="84"/>
        <v>3.1084647648202513E-5</v>
      </c>
      <c r="X130" s="18">
        <f t="shared" ca="1" si="84"/>
        <v>3.7677779847777202E-6</v>
      </c>
      <c r="Y130" s="18">
        <f t="shared" ca="1" si="84"/>
        <v>1.4025179280594366</v>
      </c>
      <c r="AA130" s="538">
        <f ca="1">SUM(E130:X130)</f>
        <v>1.1987564116178056</v>
      </c>
      <c r="AB130" s="530"/>
      <c r="AC130" s="530"/>
      <c r="AD130" s="530"/>
      <c r="AE130" s="530"/>
      <c r="AF130" s="530"/>
      <c r="AG130" s="530"/>
      <c r="AH130" s="530"/>
      <c r="AI130" s="530"/>
      <c r="AJ130" s="530"/>
      <c r="AK130" s="530"/>
      <c r="AL130" s="530"/>
      <c r="AM130" s="530"/>
      <c r="AN130" s="530"/>
      <c r="AO130" s="530"/>
      <c r="AP130" s="530"/>
      <c r="AQ130" s="530"/>
      <c r="AR130" s="530"/>
      <c r="AS130" s="530"/>
      <c r="AT130" s="530"/>
      <c r="AU130" s="530"/>
      <c r="AV130" s="530"/>
      <c r="AW130" s="530"/>
      <c r="AX130" s="530"/>
      <c r="AY130" s="530"/>
      <c r="AZ130" s="530"/>
      <c r="BA130" s="530"/>
      <c r="BB130" s="530"/>
      <c r="BC130" s="530"/>
      <c r="BD130" s="530"/>
      <c r="BE130" s="530"/>
      <c r="BF130" s="530"/>
      <c r="BG130" s="530"/>
      <c r="BH130" s="530"/>
      <c r="BI130" s="530"/>
      <c r="BJ130" s="530"/>
      <c r="BK130" s="530"/>
      <c r="BL130" s="530"/>
      <c r="BM130" s="530"/>
      <c r="BN130" s="530"/>
      <c r="BO130" s="530"/>
      <c r="BP130" s="530"/>
      <c r="BQ130" s="530"/>
      <c r="BR130" s="530"/>
      <c r="BS130" s="530"/>
      <c r="BT130" s="530"/>
      <c r="BU130" s="530"/>
      <c r="BV130" s="530"/>
      <c r="BW130" s="530"/>
      <c r="BX130" s="530"/>
      <c r="BY130" s="530"/>
      <c r="BZ130" s="530"/>
      <c r="CA130" s="530"/>
      <c r="CB130" s="530"/>
    </row>
    <row r="131" spans="1:80">
      <c r="AC131" s="530"/>
      <c r="AD131" s="530"/>
      <c r="AE131" s="530"/>
      <c r="AF131" s="530"/>
      <c r="AG131" s="530"/>
      <c r="AH131" s="530"/>
      <c r="AI131" s="530"/>
      <c r="AJ131" s="530"/>
      <c r="AK131" s="530"/>
      <c r="AL131" s="530"/>
      <c r="AM131" s="530"/>
      <c r="AN131" s="530"/>
      <c r="AO131" s="530"/>
      <c r="AP131" s="530"/>
      <c r="AQ131" s="530"/>
      <c r="AR131" s="530"/>
      <c r="AS131" s="530"/>
      <c r="AT131" s="530"/>
      <c r="AU131" s="530"/>
      <c r="AV131" s="530"/>
      <c r="AW131" s="530"/>
      <c r="AX131" s="530"/>
      <c r="AY131" s="530"/>
      <c r="AZ131" s="530"/>
      <c r="BA131" s="530"/>
      <c r="BB131" s="530"/>
      <c r="BC131" s="530"/>
      <c r="BD131" s="530"/>
      <c r="BE131" s="530"/>
      <c r="BF131" s="530"/>
      <c r="BG131" s="530"/>
      <c r="BH131" s="530"/>
      <c r="BI131" s="530"/>
      <c r="BJ131" s="530"/>
      <c r="BK131" s="530"/>
      <c r="BL131" s="530"/>
      <c r="BM131" s="530"/>
      <c r="BN131" s="530"/>
      <c r="BO131" s="530"/>
      <c r="BP131" s="530"/>
      <c r="BQ131" s="530"/>
      <c r="BR131" s="530"/>
      <c r="BS131" s="530"/>
      <c r="BT131" s="530"/>
      <c r="BU131" s="530"/>
      <c r="BV131" s="530"/>
      <c r="BW131" s="530"/>
      <c r="BX131" s="530"/>
      <c r="BY131" s="530"/>
      <c r="BZ131" s="530"/>
      <c r="CA131" s="530"/>
    </row>
    <row r="132" spans="1:80">
      <c r="D132" s="18"/>
      <c r="E132" s="18">
        <f ca="1">E130</f>
        <v>4.7411583875743547E-2</v>
      </c>
      <c r="F132" s="18">
        <f ca="1">F130+E132</f>
        <v>0.10626088496864353</v>
      </c>
      <c r="G132" s="18">
        <f t="shared" ref="G132:W132" ca="1" si="85">G130+F132</f>
        <v>0.17900055980055882</v>
      </c>
      <c r="H132" s="18">
        <f t="shared" ca="1" si="85"/>
        <v>0.26438972213402434</v>
      </c>
      <c r="I132" s="18">
        <f t="shared" ca="1" si="85"/>
        <v>0.36289935943431706</v>
      </c>
      <c r="J132" s="18">
        <f t="shared" ca="1" si="85"/>
        <v>0.47939735860312227</v>
      </c>
      <c r="K132" s="18">
        <f t="shared" ca="1" si="85"/>
        <v>0.60873333352996117</v>
      </c>
      <c r="L132" s="18">
        <f t="shared" ca="1" si="85"/>
        <v>0.74247917737192415</v>
      </c>
      <c r="M132" s="18">
        <f t="shared" ca="1" si="85"/>
        <v>0.87020086690657639</v>
      </c>
      <c r="N132" s="18">
        <f t="shared" ca="1" si="85"/>
        <v>0.98155034394931129</v>
      </c>
      <c r="O132" s="18">
        <f t="shared" ca="1" si="85"/>
        <v>1.0691159666011916</v>
      </c>
      <c r="P132" s="18">
        <f t="shared" ca="1" si="85"/>
        <v>1.130099487768033</v>
      </c>
      <c r="Q132" s="18">
        <f t="shared" ca="1" si="85"/>
        <v>1.1671411870264956</v>
      </c>
      <c r="R132" s="18">
        <f t="shared" ca="1" si="85"/>
        <v>1.1863572139469365</v>
      </c>
      <c r="S132" s="18">
        <f t="shared" ca="1" si="85"/>
        <v>1.1947123308875947</v>
      </c>
      <c r="T132" s="18">
        <f t="shared" ca="1" si="85"/>
        <v>1.1976889851599906</v>
      </c>
      <c r="U132" s="18">
        <f t="shared" ca="1" si="85"/>
        <v>1.1985349618880954</v>
      </c>
      <c r="V132" s="18">
        <f t="shared" ca="1" si="85"/>
        <v>1.1987215591921727</v>
      </c>
      <c r="W132" s="18">
        <f t="shared" ca="1" si="85"/>
        <v>1.1987526438398208</v>
      </c>
      <c r="X132" s="18">
        <f ca="1">X130+W132</f>
        <v>1.1987564116178056</v>
      </c>
      <c r="Y132" s="18"/>
      <c r="Z132" s="18"/>
      <c r="AA132" s="18"/>
      <c r="AB132" s="548"/>
      <c r="AC132" s="530"/>
      <c r="AD132" s="530"/>
      <c r="AE132" s="530"/>
      <c r="AF132" s="530"/>
      <c r="AG132" s="530"/>
      <c r="AH132" s="530"/>
      <c r="AI132" s="530"/>
      <c r="AJ132" s="530"/>
      <c r="AK132" s="530"/>
      <c r="AL132" s="530"/>
      <c r="AM132" s="530"/>
      <c r="AN132" s="530"/>
      <c r="AO132" s="530"/>
      <c r="AP132" s="530"/>
      <c r="AQ132" s="530"/>
      <c r="AR132" s="530"/>
      <c r="AS132" s="530"/>
      <c r="AT132" s="530"/>
      <c r="AU132" s="530"/>
      <c r="AV132" s="530"/>
      <c r="AW132" s="530"/>
      <c r="AX132" s="530"/>
      <c r="AY132" s="530"/>
      <c r="AZ132" s="530"/>
      <c r="BA132" s="530"/>
      <c r="BB132" s="530"/>
      <c r="BC132" s="530"/>
      <c r="BD132" s="530"/>
      <c r="BE132" s="530"/>
      <c r="BF132" s="530"/>
      <c r="BG132" s="530"/>
      <c r="BH132" s="530"/>
      <c r="BI132" s="530"/>
      <c r="BJ132" s="530"/>
      <c r="BK132" s="530"/>
      <c r="BL132" s="530"/>
      <c r="BM132" s="530"/>
      <c r="BN132" s="530"/>
      <c r="BO132" s="530"/>
      <c r="BP132" s="530"/>
      <c r="BQ132" s="530"/>
      <c r="BR132" s="530"/>
      <c r="BS132" s="530"/>
      <c r="BT132" s="530"/>
      <c r="BU132" s="530"/>
      <c r="BV132" s="530"/>
      <c r="BW132" s="530"/>
      <c r="BX132" s="530"/>
      <c r="BY132" s="530"/>
      <c r="BZ132" s="530"/>
      <c r="CA132" s="530"/>
    </row>
    <row r="133" spans="1:80">
      <c r="AC133" s="530"/>
      <c r="AD133" s="530"/>
      <c r="AE133" s="530"/>
      <c r="AF133" s="530"/>
      <c r="AG133" s="530"/>
      <c r="AH133" s="530"/>
      <c r="AI133" s="530"/>
      <c r="AJ133" s="530"/>
      <c r="AK133" s="530"/>
      <c r="AL133" s="530"/>
      <c r="AM133" s="530"/>
      <c r="AN133" s="530"/>
      <c r="AO133" s="530"/>
      <c r="AP133" s="530"/>
      <c r="AQ133" s="530"/>
      <c r="AR133" s="530"/>
      <c r="AS133" s="530"/>
      <c r="AT133" s="530"/>
      <c r="AU133" s="530"/>
      <c r="AV133" s="530"/>
      <c r="AW133" s="530"/>
      <c r="AX133" s="530"/>
      <c r="AY133" s="530"/>
      <c r="AZ133" s="530"/>
      <c r="BA133" s="530"/>
      <c r="BB133" s="530"/>
      <c r="BC133" s="530"/>
      <c r="BD133" s="530"/>
      <c r="BE133" s="530"/>
      <c r="BF133" s="530"/>
      <c r="BG133" s="530"/>
      <c r="BH133" s="530"/>
      <c r="BI133" s="530"/>
      <c r="BJ133" s="530"/>
      <c r="BK133" s="530"/>
      <c r="BL133" s="530"/>
      <c r="BM133" s="530"/>
      <c r="BN133" s="530"/>
      <c r="BO133" s="530"/>
      <c r="BP133" s="530"/>
      <c r="BQ133" s="530"/>
      <c r="BR133" s="530"/>
      <c r="BS133" s="530"/>
      <c r="BT133" s="530"/>
      <c r="BU133" s="530"/>
      <c r="BV133" s="530"/>
      <c r="BW133" s="530"/>
      <c r="BX133" s="530"/>
      <c r="BY133" s="530"/>
      <c r="BZ133" s="530"/>
      <c r="CA133" s="530"/>
    </row>
    <row r="134" spans="1:80">
      <c r="AC134" s="530"/>
      <c r="AD134" s="530"/>
      <c r="AE134" s="530"/>
      <c r="AF134" s="530"/>
      <c r="AG134" s="530"/>
      <c r="AH134" s="530"/>
      <c r="AI134" s="530"/>
      <c r="AJ134" s="530"/>
      <c r="AK134" s="530"/>
      <c r="AL134" s="530"/>
      <c r="AM134" s="530"/>
      <c r="AN134" s="530"/>
      <c r="AO134" s="530"/>
      <c r="AP134" s="530"/>
      <c r="AQ134" s="530"/>
      <c r="AR134" s="530"/>
      <c r="AS134" s="530"/>
      <c r="AT134" s="530"/>
      <c r="AU134" s="530"/>
      <c r="AV134" s="530"/>
      <c r="AW134" s="530"/>
      <c r="AX134" s="530"/>
      <c r="AY134" s="530"/>
      <c r="AZ134" s="530"/>
      <c r="BA134" s="530"/>
      <c r="BB134" s="530"/>
      <c r="BC134" s="530"/>
      <c r="BD134" s="530"/>
      <c r="BE134" s="530"/>
      <c r="BF134" s="530"/>
      <c r="BG134" s="530"/>
      <c r="BH134" s="530"/>
      <c r="BI134" s="530"/>
      <c r="BJ134" s="530"/>
      <c r="BK134" s="530"/>
      <c r="BL134" s="530"/>
      <c r="BM134" s="530"/>
      <c r="BN134" s="530"/>
      <c r="BO134" s="530"/>
      <c r="BP134" s="530"/>
      <c r="BQ134" s="530"/>
      <c r="BR134" s="530"/>
      <c r="BS134" s="530"/>
      <c r="BT134" s="530"/>
      <c r="BU134" s="530"/>
      <c r="BV134" s="530"/>
      <c r="BW134" s="530"/>
      <c r="BX134" s="530"/>
      <c r="BY134" s="530"/>
      <c r="BZ134" s="530"/>
      <c r="CA134" s="530"/>
    </row>
    <row r="135" spans="1:80" ht="15">
      <c r="A135" s="531" t="s">
        <v>389</v>
      </c>
      <c r="AC135" s="530"/>
      <c r="AD135" s="530"/>
      <c r="AE135" s="530"/>
      <c r="AF135" s="530"/>
      <c r="AG135" s="530"/>
      <c r="AH135" s="530"/>
      <c r="AI135" s="530"/>
      <c r="AJ135" s="530"/>
      <c r="AK135" s="530"/>
      <c r="AL135" s="530"/>
      <c r="AM135" s="530"/>
      <c r="AN135" s="530"/>
      <c r="AO135" s="530"/>
      <c r="AP135" s="530"/>
      <c r="AQ135" s="530"/>
      <c r="AR135" s="530"/>
      <c r="AS135" s="530"/>
      <c r="AT135" s="530"/>
      <c r="AU135" s="530"/>
      <c r="AV135" s="530"/>
      <c r="AW135" s="530"/>
      <c r="AX135" s="530"/>
      <c r="AY135" s="530"/>
      <c r="AZ135" s="530"/>
      <c r="BA135" s="530"/>
      <c r="BB135" s="530"/>
      <c r="BC135" s="530"/>
      <c r="BD135" s="530"/>
      <c r="BE135" s="530"/>
      <c r="BF135" s="530"/>
      <c r="BG135" s="530"/>
      <c r="BH135" s="530"/>
      <c r="BI135" s="530"/>
      <c r="BJ135" s="530"/>
      <c r="BK135" s="530"/>
      <c r="BL135" s="530"/>
      <c r="BM135" s="530"/>
      <c r="BN135" s="530"/>
      <c r="BO135" s="530"/>
      <c r="BP135" s="530"/>
      <c r="BQ135" s="530"/>
      <c r="BR135" s="530"/>
      <c r="BS135" s="530"/>
      <c r="BT135" s="530"/>
      <c r="BU135" s="530"/>
      <c r="BV135" s="530"/>
      <c r="BW135" s="530"/>
      <c r="BX135" s="530"/>
      <c r="BY135" s="530"/>
      <c r="BZ135" s="530"/>
      <c r="CA135" s="530"/>
    </row>
    <row r="136" spans="1:80" ht="15">
      <c r="E136" s="532">
        <f t="shared" ref="E136:X136" si="86">E11</f>
        <v>2016</v>
      </c>
      <c r="F136" s="533">
        <f t="shared" si="86"/>
        <v>2017</v>
      </c>
      <c r="G136" s="533">
        <f t="shared" si="86"/>
        <v>2018</v>
      </c>
      <c r="H136" s="533">
        <f t="shared" si="86"/>
        <v>2019</v>
      </c>
      <c r="I136" s="533">
        <f t="shared" si="86"/>
        <v>2020</v>
      </c>
      <c r="J136" s="533">
        <f t="shared" si="86"/>
        <v>2021</v>
      </c>
      <c r="K136" s="533">
        <f t="shared" si="86"/>
        <v>2022</v>
      </c>
      <c r="L136" s="533">
        <f t="shared" si="86"/>
        <v>2023</v>
      </c>
      <c r="M136" s="533">
        <f t="shared" si="86"/>
        <v>2024</v>
      </c>
      <c r="N136" s="533">
        <f t="shared" si="86"/>
        <v>2025</v>
      </c>
      <c r="O136" s="533">
        <f t="shared" si="86"/>
        <v>2026</v>
      </c>
      <c r="P136" s="533">
        <f t="shared" si="86"/>
        <v>2027</v>
      </c>
      <c r="Q136" s="533">
        <f t="shared" si="86"/>
        <v>2028</v>
      </c>
      <c r="R136" s="533">
        <f t="shared" si="86"/>
        <v>2029</v>
      </c>
      <c r="S136" s="533">
        <f t="shared" si="86"/>
        <v>2030</v>
      </c>
      <c r="T136" s="533">
        <f t="shared" si="86"/>
        <v>2031</v>
      </c>
      <c r="U136" s="533">
        <f t="shared" si="86"/>
        <v>2032</v>
      </c>
      <c r="V136" s="533">
        <f t="shared" si="86"/>
        <v>2033</v>
      </c>
      <c r="W136" s="533">
        <f t="shared" si="86"/>
        <v>2034</v>
      </c>
      <c r="X136" s="533">
        <f t="shared" si="86"/>
        <v>2035</v>
      </c>
      <c r="Y136" s="534" t="s">
        <v>378</v>
      </c>
      <c r="AC136" s="530"/>
      <c r="AD136" s="530"/>
      <c r="AE136" s="530"/>
      <c r="AF136" s="530"/>
      <c r="AG136" s="530"/>
      <c r="AH136" s="530"/>
      <c r="AI136" s="530"/>
      <c r="AJ136" s="530"/>
      <c r="AK136" s="530"/>
      <c r="AL136" s="530"/>
      <c r="AM136" s="530"/>
      <c r="AN136" s="530"/>
      <c r="AO136" s="530"/>
      <c r="AP136" s="530"/>
      <c r="AQ136" s="530"/>
      <c r="AR136" s="530"/>
      <c r="AS136" s="530"/>
      <c r="AT136" s="530"/>
      <c r="AU136" s="530"/>
      <c r="AV136" s="530"/>
      <c r="AW136" s="530"/>
      <c r="AX136" s="530"/>
      <c r="AY136" s="530"/>
      <c r="AZ136" s="530"/>
      <c r="BA136" s="530"/>
      <c r="BB136" s="530"/>
      <c r="BC136" s="530"/>
      <c r="BD136" s="530"/>
      <c r="BE136" s="530"/>
      <c r="BF136" s="530"/>
      <c r="BG136" s="530"/>
      <c r="BH136" s="530"/>
      <c r="BI136" s="530"/>
      <c r="BJ136" s="530"/>
      <c r="BK136" s="530"/>
      <c r="BL136" s="530"/>
      <c r="BM136" s="530"/>
      <c r="BN136" s="530"/>
      <c r="BO136" s="530"/>
      <c r="BP136" s="530"/>
      <c r="BQ136" s="530"/>
      <c r="BR136" s="530"/>
      <c r="BS136" s="530"/>
      <c r="BT136" s="530"/>
      <c r="BU136" s="530"/>
      <c r="BV136" s="530"/>
      <c r="BW136" s="530"/>
      <c r="BX136" s="530"/>
      <c r="BY136" s="530"/>
      <c r="BZ136" s="530"/>
      <c r="CA136" s="530"/>
    </row>
    <row r="137" spans="1:80" ht="15">
      <c r="C137" s="549" t="s">
        <v>386</v>
      </c>
      <c r="D137" s="549" t="s">
        <v>386</v>
      </c>
      <c r="E137" s="536" t="str">
        <f t="shared" ref="E137:X137" si="87">CONCATENATE("Units_",E$11)</f>
        <v>Units_2016</v>
      </c>
      <c r="F137" s="544" t="str">
        <f t="shared" si="87"/>
        <v>Units_2017</v>
      </c>
      <c r="G137" s="544" t="str">
        <f t="shared" si="87"/>
        <v>Units_2018</v>
      </c>
      <c r="H137" s="544" t="str">
        <f t="shared" si="87"/>
        <v>Units_2019</v>
      </c>
      <c r="I137" s="544" t="str">
        <f t="shared" si="87"/>
        <v>Units_2020</v>
      </c>
      <c r="J137" s="544" t="str">
        <f t="shared" si="87"/>
        <v>Units_2021</v>
      </c>
      <c r="K137" s="544" t="str">
        <f t="shared" si="87"/>
        <v>Units_2022</v>
      </c>
      <c r="L137" s="544" t="str">
        <f t="shared" si="87"/>
        <v>Units_2023</v>
      </c>
      <c r="M137" s="544" t="str">
        <f t="shared" si="87"/>
        <v>Units_2024</v>
      </c>
      <c r="N137" s="544" t="str">
        <f t="shared" si="87"/>
        <v>Units_2025</v>
      </c>
      <c r="O137" s="544" t="str">
        <f t="shared" si="87"/>
        <v>Units_2026</v>
      </c>
      <c r="P137" s="544" t="str">
        <f t="shared" si="87"/>
        <v>Units_2027</v>
      </c>
      <c r="Q137" s="544" t="str">
        <f t="shared" si="87"/>
        <v>Units_2028</v>
      </c>
      <c r="R137" s="544" t="str">
        <f t="shared" si="87"/>
        <v>Units_2029</v>
      </c>
      <c r="S137" s="544" t="str">
        <f t="shared" si="87"/>
        <v>Units_2030</v>
      </c>
      <c r="T137" s="544" t="str">
        <f t="shared" si="87"/>
        <v>Units_2031</v>
      </c>
      <c r="U137" s="544" t="str">
        <f t="shared" si="87"/>
        <v>Units_2032</v>
      </c>
      <c r="V137" s="544" t="str">
        <f t="shared" si="87"/>
        <v>Units_2033</v>
      </c>
      <c r="W137" s="544" t="str">
        <f t="shared" si="87"/>
        <v>Units_2034</v>
      </c>
      <c r="X137" s="544" t="str">
        <f t="shared" si="87"/>
        <v>Units_2035</v>
      </c>
      <c r="Y137" s="537" t="s">
        <v>378</v>
      </c>
      <c r="AC137" s="530"/>
      <c r="AD137" s="530"/>
      <c r="AE137" s="530"/>
      <c r="AF137" s="530"/>
      <c r="AG137" s="530"/>
      <c r="AH137" s="530"/>
      <c r="AI137" s="530"/>
      <c r="AJ137" s="530"/>
      <c r="AK137" s="530"/>
      <c r="AL137" s="530"/>
      <c r="AM137" s="530"/>
      <c r="AN137" s="530"/>
      <c r="AO137" s="530"/>
      <c r="AP137" s="530"/>
      <c r="AQ137" s="530"/>
      <c r="AR137" s="530"/>
      <c r="AS137" s="530"/>
      <c r="AT137" s="530"/>
      <c r="AU137" s="530"/>
      <c r="AV137" s="530"/>
      <c r="AW137" s="530"/>
      <c r="AX137" s="530"/>
      <c r="AY137" s="530"/>
      <c r="AZ137" s="530"/>
      <c r="BA137" s="530"/>
      <c r="BB137" s="530"/>
      <c r="BC137" s="530"/>
      <c r="BD137" s="530"/>
      <c r="BE137" s="530"/>
      <c r="BF137" s="530"/>
      <c r="BG137" s="530"/>
      <c r="BH137" s="530"/>
      <c r="BI137" s="530"/>
      <c r="BJ137" s="530"/>
      <c r="BK137" s="530"/>
      <c r="BL137" s="530"/>
      <c r="BM137" s="530"/>
      <c r="BN137" s="530"/>
      <c r="BO137" s="530"/>
      <c r="BP137" s="530"/>
      <c r="BQ137" s="530"/>
      <c r="BR137" s="530"/>
      <c r="BS137" s="530"/>
      <c r="BT137" s="530"/>
      <c r="BU137" s="530"/>
      <c r="BV137" s="530"/>
      <c r="BW137" s="530"/>
      <c r="BX137" s="530"/>
      <c r="BY137" s="530"/>
      <c r="BZ137" s="530"/>
      <c r="CA137" s="530"/>
    </row>
    <row r="138" spans="1:80">
      <c r="B138" t="s">
        <v>390</v>
      </c>
      <c r="C138" s="550" t="s">
        <v>391</v>
      </c>
      <c r="D138" s="550" t="s">
        <v>392</v>
      </c>
      <c r="E138" s="546">
        <f ca="1">DSUM($B$99:$Y$128,E$99,$C$137:$D138)</f>
        <v>3.5061218154721199E-2</v>
      </c>
      <c r="F138" s="546">
        <f ca="1">DSUM($B$99:$Y$128,F$99,$C$137:$D138)</f>
        <v>4.3448833364372441E-2</v>
      </c>
      <c r="G138" s="546">
        <f ca="1">DSUM($B$99:$Y$128,G$99,$C$137:$D138)</f>
        <v>5.3624400116900395E-2</v>
      </c>
      <c r="H138" s="546">
        <f ca="1">DSUM($B$99:$Y$128,H$99,$C$137:$D138)</f>
        <v>6.2846282598037539E-2</v>
      </c>
      <c r="I138" s="546">
        <f ca="1">DSUM($B$99:$Y$128,I$99,$C$137:$D138)</f>
        <v>7.2383124412103358E-2</v>
      </c>
      <c r="J138" s="546">
        <f ca="1">DSUM($B$99:$Y$128,J$99,$C$137:$D138)</f>
        <v>8.5459209733039651E-2</v>
      </c>
      <c r="K138" s="546">
        <f ca="1">DSUM($B$99:$Y$128,K$99,$C$137:$D138)</f>
        <v>9.4715070648720145E-2</v>
      </c>
      <c r="L138" s="546">
        <f ca="1">DSUM($B$99:$Y$128,L$99,$C$137:$D138)</f>
        <v>9.7775996722748754E-2</v>
      </c>
      <c r="M138" s="546">
        <f ca="1">DSUM($B$99:$Y$128,M$99,$C$137:$D138)</f>
        <v>9.3199130968425539E-2</v>
      </c>
      <c r="N138" s="546">
        <f ca="1">DSUM($B$99:$Y$128,N$99,$C$137:$D138)</f>
        <v>8.1093877341056844E-2</v>
      </c>
      <c r="O138" s="546">
        <f ca="1">DSUM($B$99:$Y$128,O$99,$C$137:$D138)</f>
        <v>6.3632675205508665E-2</v>
      </c>
      <c r="P138" s="546">
        <f ca="1">DSUM($B$99:$Y$128,P$99,$C$137:$D138)</f>
        <v>4.4228371374945723E-2</v>
      </c>
      <c r="Q138" s="546">
        <f ca="1">DSUM($B$99:$Y$128,Q$99,$C$137:$D138)</f>
        <v>2.6811343146450197E-2</v>
      </c>
      <c r="R138" s="546">
        <f ca="1">DSUM($B$99:$Y$128,R$99,$C$137:$D138)</f>
        <v>1.3884982657291002E-2</v>
      </c>
      <c r="S138" s="546">
        <f ca="1">DSUM($B$99:$Y$128,S$99,$C$137:$D138)</f>
        <v>6.0267385753302507E-3</v>
      </c>
      <c r="T138" s="546">
        <f ca="1">DSUM($B$99:$Y$128,T$99,$C$137:$D138)</f>
        <v>2.1432850341389013E-3</v>
      </c>
      <c r="U138" s="546">
        <f ca="1">DSUM($B$99:$Y$128,U$99,$C$137:$D138)</f>
        <v>6.0812802498952292E-4</v>
      </c>
      <c r="V138" s="546">
        <f ca="1">DSUM($B$99:$Y$128,V$99,$C$137:$D138)</f>
        <v>1.3393460582851943E-4</v>
      </c>
      <c r="W138" s="546">
        <f ca="1">DSUM($B$99:$Y$128,W$99,$C$137:$D138)</f>
        <v>2.2274763155990707E-5</v>
      </c>
      <c r="X138" s="546">
        <f ca="1">DSUM($B$99:$Y$128,X$99,$C$137:$D138)</f>
        <v>2.6967020436163463E-6</v>
      </c>
      <c r="Y138" s="546">
        <f ca="1">DSUM($B$99:$Y$128,Y$99,$C$137:$D138)</f>
        <v>1.0038205483674683</v>
      </c>
      <c r="AC138" s="530"/>
      <c r="AD138" s="530"/>
      <c r="AE138" s="530"/>
      <c r="AF138" s="530"/>
      <c r="AG138" s="530"/>
      <c r="AH138" s="530"/>
      <c r="AI138" s="530"/>
      <c r="AJ138" s="530"/>
      <c r="AK138" s="530"/>
      <c r="AL138" s="530"/>
      <c r="AM138" s="530"/>
      <c r="AN138" s="530"/>
      <c r="AO138" s="530"/>
      <c r="AP138" s="530"/>
      <c r="AQ138" s="530"/>
      <c r="AR138" s="530"/>
      <c r="AS138" s="530"/>
      <c r="AT138" s="530"/>
      <c r="AU138" s="530"/>
      <c r="AV138" s="530"/>
      <c r="AW138" s="530"/>
      <c r="AX138" s="530"/>
      <c r="AY138" s="530"/>
      <c r="AZ138" s="530"/>
      <c r="BA138" s="530"/>
      <c r="BB138" s="530"/>
      <c r="BC138" s="530"/>
      <c r="BD138" s="530"/>
      <c r="BE138" s="530"/>
      <c r="BF138" s="530"/>
      <c r="BG138" s="530"/>
      <c r="BH138" s="530"/>
      <c r="BI138" s="530"/>
      <c r="BJ138" s="530"/>
      <c r="BK138" s="530"/>
      <c r="BL138" s="530"/>
      <c r="BM138" s="530"/>
      <c r="BN138" s="530"/>
      <c r="BO138" s="530"/>
      <c r="BP138" s="530"/>
      <c r="BQ138" s="530"/>
      <c r="BR138" s="530"/>
      <c r="BS138" s="530"/>
      <c r="BT138" s="530"/>
      <c r="BU138" s="530"/>
      <c r="BV138" s="530"/>
      <c r="BW138" s="530"/>
      <c r="BX138" s="530"/>
      <c r="BY138" s="530"/>
      <c r="BZ138" s="530"/>
      <c r="CA138" s="530"/>
    </row>
    <row r="139" spans="1:80">
      <c r="B139" t="s">
        <v>393</v>
      </c>
      <c r="C139" s="550" t="s">
        <v>394</v>
      </c>
      <c r="D139" s="550" t="s">
        <v>395</v>
      </c>
      <c r="E139" s="546">
        <f ca="1">DSUM($B$99:$Y$128,E$99,$C$137:$D139)</f>
        <v>4.7411583875743547E-2</v>
      </c>
      <c r="F139" s="546">
        <f ca="1">DSUM($B$99:$Y$128,F$99,$C$137:$D139)</f>
        <v>5.8849301092899979E-2</v>
      </c>
      <c r="G139" s="546">
        <f ca="1">DSUM($B$99:$Y$128,G$99,$C$137:$D139)</f>
        <v>7.2739674831915291E-2</v>
      </c>
      <c r="H139" s="546">
        <f ca="1">DSUM($B$99:$Y$128,H$99,$C$137:$D139)</f>
        <v>8.5389162333465538E-2</v>
      </c>
      <c r="I139" s="546">
        <f ca="1">DSUM($B$99:$Y$128,I$99,$C$137:$D139)</f>
        <v>9.8509637300292746E-2</v>
      </c>
      <c r="J139" s="546">
        <f ca="1">DSUM($B$99:$Y$128,J$99,$C$137:$D139)</f>
        <v>0.11649799916880522</v>
      </c>
      <c r="K139" s="546">
        <f ca="1">DSUM($B$99:$Y$128,K$99,$C$137:$D139)</f>
        <v>0.1293359749268389</v>
      </c>
      <c r="L139" s="546">
        <f ca="1">DSUM($B$99:$Y$128,L$99,$C$137:$D139)</f>
        <v>0.13374584384196297</v>
      </c>
      <c r="M139" s="546">
        <f ca="1">DSUM($B$99:$Y$128,M$99,$C$137:$D139)</f>
        <v>0.12772168953465229</v>
      </c>
      <c r="N139" s="546">
        <f ca="1">DSUM($B$99:$Y$128,N$99,$C$137:$D139)</f>
        <v>0.11134947704273492</v>
      </c>
      <c r="O139" s="546">
        <f ca="1">DSUM($B$99:$Y$128,O$99,$C$137:$D139)</f>
        <v>8.7565622651880351E-2</v>
      </c>
      <c r="P139" s="546">
        <f ca="1">DSUM($B$99:$Y$128,P$99,$C$137:$D139)</f>
        <v>6.0983521166841519E-2</v>
      </c>
      <c r="Q139" s="546">
        <f ca="1">DSUM($B$99:$Y$128,Q$99,$C$137:$D139)</f>
        <v>3.7041699258462478E-2</v>
      </c>
      <c r="R139" s="546">
        <f ca="1">DSUM($B$99:$Y$128,R$99,$C$137:$D139)</f>
        <v>1.921602692044078E-2</v>
      </c>
      <c r="S139" s="546">
        <f ca="1">DSUM($B$99:$Y$128,S$99,$C$137:$D139)</f>
        <v>8.3551169406581704E-3</v>
      </c>
      <c r="T139" s="546">
        <f ca="1">DSUM($B$99:$Y$128,T$99,$C$137:$D139)</f>
        <v>2.9766542723959075E-3</v>
      </c>
      <c r="U139" s="546">
        <f ca="1">DSUM($B$99:$Y$128,U$99,$C$137:$D139)</f>
        <v>8.4597672810473494E-4</v>
      </c>
      <c r="V139" s="546">
        <f ca="1">DSUM($B$99:$Y$128,V$99,$C$137:$D139)</f>
        <v>1.8659730407723403E-4</v>
      </c>
      <c r="W139" s="546">
        <f ca="1">DSUM($B$99:$Y$128,W$99,$C$137:$D139)</f>
        <v>3.1084647648202513E-5</v>
      </c>
      <c r="X139" s="546">
        <f ca="1">DSUM($B$99:$Y$128,X$99,$C$137:$D139)</f>
        <v>3.7677779847777202E-6</v>
      </c>
      <c r="Y139" s="546">
        <f ca="1">DSUM($B$99:$Y$128,Y$99,$C$137:$D139)</f>
        <v>1.4025179280594366</v>
      </c>
      <c r="AC139" s="530"/>
      <c r="AD139" s="530"/>
      <c r="AE139" s="530"/>
      <c r="AF139" s="530"/>
      <c r="AG139" s="530"/>
      <c r="AH139" s="530"/>
      <c r="AI139" s="530"/>
      <c r="AJ139" s="530"/>
      <c r="AK139" s="530"/>
      <c r="AL139" s="530"/>
      <c r="AM139" s="530"/>
      <c r="AN139" s="530"/>
      <c r="AO139" s="530"/>
      <c r="AP139" s="530"/>
      <c r="AQ139" s="530"/>
      <c r="AR139" s="530"/>
      <c r="AS139" s="530"/>
      <c r="AT139" s="530"/>
      <c r="AU139" s="530"/>
      <c r="AV139" s="530"/>
      <c r="AW139" s="530"/>
      <c r="AX139" s="530"/>
      <c r="AY139" s="530"/>
      <c r="AZ139" s="530"/>
      <c r="BA139" s="530"/>
      <c r="BB139" s="530"/>
      <c r="BC139" s="530"/>
      <c r="BD139" s="530"/>
      <c r="BE139" s="530"/>
      <c r="BF139" s="530"/>
      <c r="BG139" s="530"/>
      <c r="BH139" s="530"/>
      <c r="BI139" s="530"/>
      <c r="BJ139" s="530"/>
      <c r="BK139" s="530"/>
      <c r="BL139" s="530"/>
      <c r="BM139" s="530"/>
      <c r="BN139" s="530"/>
      <c r="BO139" s="530"/>
      <c r="BP139" s="530"/>
      <c r="BQ139" s="530"/>
      <c r="BR139" s="530"/>
      <c r="BS139" s="530"/>
      <c r="BT139" s="530"/>
      <c r="BU139" s="530"/>
      <c r="BV139" s="530"/>
      <c r="BW139" s="530"/>
      <c r="BX139" s="530"/>
      <c r="BY139" s="530"/>
      <c r="BZ139" s="530"/>
      <c r="CA139" s="530"/>
    </row>
    <row r="140" spans="1:80">
      <c r="B140" t="s">
        <v>396</v>
      </c>
      <c r="C140" s="550" t="s">
        <v>397</v>
      </c>
      <c r="D140" s="550" t="s">
        <v>398</v>
      </c>
      <c r="E140" s="546">
        <f ca="1">DSUM($B$99:$Y$128,E$99,$C$137:$D140)</f>
        <v>4.7411583875743547E-2</v>
      </c>
      <c r="F140" s="546">
        <f ca="1">DSUM($B$99:$Y$128,F$99,$C$137:$D140)</f>
        <v>5.8849301092899979E-2</v>
      </c>
      <c r="G140" s="546">
        <f ca="1">DSUM($B$99:$Y$128,G$99,$C$137:$D140)</f>
        <v>7.2739674831915291E-2</v>
      </c>
      <c r="H140" s="546">
        <f ca="1">DSUM($B$99:$Y$128,H$99,$C$137:$D140)</f>
        <v>8.5389162333465538E-2</v>
      </c>
      <c r="I140" s="546">
        <f ca="1">DSUM($B$99:$Y$128,I$99,$C$137:$D140)</f>
        <v>9.8509637300292746E-2</v>
      </c>
      <c r="J140" s="546">
        <f ca="1">DSUM($B$99:$Y$128,J$99,$C$137:$D140)</f>
        <v>0.11649799916880522</v>
      </c>
      <c r="K140" s="546">
        <f ca="1">DSUM($B$99:$Y$128,K$99,$C$137:$D140)</f>
        <v>0.1293359749268389</v>
      </c>
      <c r="L140" s="546">
        <f ca="1">DSUM($B$99:$Y$128,L$99,$C$137:$D140)</f>
        <v>0.13374584384196297</v>
      </c>
      <c r="M140" s="546">
        <f ca="1">DSUM($B$99:$Y$128,M$99,$C$137:$D140)</f>
        <v>0.12772168953465229</v>
      </c>
      <c r="N140" s="546">
        <f ca="1">DSUM($B$99:$Y$128,N$99,$C$137:$D140)</f>
        <v>0.11134947704273492</v>
      </c>
      <c r="O140" s="546">
        <f ca="1">DSUM($B$99:$Y$128,O$99,$C$137:$D140)</f>
        <v>8.7565622651880351E-2</v>
      </c>
      <c r="P140" s="546">
        <f ca="1">DSUM($B$99:$Y$128,P$99,$C$137:$D140)</f>
        <v>6.0983521166841519E-2</v>
      </c>
      <c r="Q140" s="546">
        <f ca="1">DSUM($B$99:$Y$128,Q$99,$C$137:$D140)</f>
        <v>3.7041699258462478E-2</v>
      </c>
      <c r="R140" s="546">
        <f ca="1">DSUM($B$99:$Y$128,R$99,$C$137:$D140)</f>
        <v>1.921602692044078E-2</v>
      </c>
      <c r="S140" s="546">
        <f ca="1">DSUM($B$99:$Y$128,S$99,$C$137:$D140)</f>
        <v>8.3551169406581704E-3</v>
      </c>
      <c r="T140" s="546">
        <f ca="1">DSUM($B$99:$Y$128,T$99,$C$137:$D140)</f>
        <v>2.9766542723959075E-3</v>
      </c>
      <c r="U140" s="546">
        <f ca="1">DSUM($B$99:$Y$128,U$99,$C$137:$D140)</f>
        <v>8.4597672810473494E-4</v>
      </c>
      <c r="V140" s="546">
        <f ca="1">DSUM($B$99:$Y$128,V$99,$C$137:$D140)</f>
        <v>1.8659730407723403E-4</v>
      </c>
      <c r="W140" s="546">
        <f ca="1">DSUM($B$99:$Y$128,W$99,$C$137:$D140)</f>
        <v>3.1084647648202513E-5</v>
      </c>
      <c r="X140" s="546">
        <f ca="1">DSUM($B$99:$Y$128,X$99,$C$137:$D140)</f>
        <v>3.7677779847777202E-6</v>
      </c>
      <c r="Y140" s="546">
        <f ca="1">DSUM($B$99:$Y$128,Y$99,$C$137:$D140)</f>
        <v>1.4025179280594366</v>
      </c>
      <c r="AC140" s="530"/>
      <c r="AD140" s="530"/>
      <c r="AE140" s="530"/>
      <c r="AF140" s="530"/>
      <c r="AG140" s="530"/>
      <c r="AH140" s="530"/>
      <c r="AI140" s="530"/>
      <c r="AJ140" s="530"/>
      <c r="AK140" s="530"/>
      <c r="AL140" s="530"/>
      <c r="AM140" s="530"/>
      <c r="AN140" s="530"/>
      <c r="AO140" s="530"/>
      <c r="AP140" s="530"/>
      <c r="AQ140" s="530"/>
      <c r="AR140" s="530"/>
      <c r="AS140" s="530"/>
      <c r="AT140" s="530"/>
      <c r="AU140" s="530"/>
      <c r="AV140" s="530"/>
      <c r="AW140" s="530"/>
      <c r="AX140" s="530"/>
      <c r="AY140" s="530"/>
      <c r="AZ140" s="530"/>
      <c r="BA140" s="530"/>
      <c r="BB140" s="530"/>
      <c r="BC140" s="530"/>
      <c r="BD140" s="530"/>
      <c r="BE140" s="530"/>
      <c r="BF140" s="530"/>
      <c r="BG140" s="530"/>
      <c r="BH140" s="530"/>
      <c r="BI140" s="530"/>
      <c r="BJ140" s="530"/>
      <c r="BK140" s="530"/>
      <c r="BL140" s="530"/>
      <c r="BM140" s="530"/>
      <c r="BN140" s="530"/>
      <c r="BO140" s="530"/>
      <c r="BP140" s="530"/>
      <c r="BQ140" s="530"/>
      <c r="BR140" s="530"/>
      <c r="BS140" s="530"/>
      <c r="BT140" s="530"/>
      <c r="BU140" s="530"/>
      <c r="BV140" s="530"/>
      <c r="BW140" s="530"/>
      <c r="BX140" s="530"/>
      <c r="BY140" s="530"/>
      <c r="BZ140" s="530"/>
      <c r="CA140" s="530"/>
    </row>
    <row r="141" spans="1:80">
      <c r="B141" t="s">
        <v>399</v>
      </c>
      <c r="C141" s="550" t="s">
        <v>400</v>
      </c>
      <c r="D141" s="550" t="s">
        <v>401</v>
      </c>
      <c r="E141" s="546">
        <f ca="1">DSUM($B$99:$Y$128,E$99,$C$137:$D141)</f>
        <v>4.7411583875743547E-2</v>
      </c>
      <c r="F141" s="546">
        <f ca="1">DSUM($B$99:$Y$128,F$99,$C$137:$D141)</f>
        <v>5.8849301092899979E-2</v>
      </c>
      <c r="G141" s="546">
        <f ca="1">DSUM($B$99:$Y$128,G$99,$C$137:$D141)</f>
        <v>7.2739674831915291E-2</v>
      </c>
      <c r="H141" s="546">
        <f ca="1">DSUM($B$99:$Y$128,H$99,$C$137:$D141)</f>
        <v>8.5389162333465538E-2</v>
      </c>
      <c r="I141" s="546">
        <f ca="1">DSUM($B$99:$Y$128,I$99,$C$137:$D141)</f>
        <v>9.8509637300292746E-2</v>
      </c>
      <c r="J141" s="546">
        <f ca="1">DSUM($B$99:$Y$128,J$99,$C$137:$D141)</f>
        <v>0.11649799916880522</v>
      </c>
      <c r="K141" s="546">
        <f ca="1">DSUM($B$99:$Y$128,K$99,$C$137:$D141)</f>
        <v>0.1293359749268389</v>
      </c>
      <c r="L141" s="546">
        <f ca="1">DSUM($B$99:$Y$128,L$99,$C$137:$D141)</f>
        <v>0.13374584384196297</v>
      </c>
      <c r="M141" s="546">
        <f ca="1">DSUM($B$99:$Y$128,M$99,$C$137:$D141)</f>
        <v>0.12772168953465229</v>
      </c>
      <c r="N141" s="546">
        <f ca="1">DSUM($B$99:$Y$128,N$99,$C$137:$D141)</f>
        <v>0.11134947704273492</v>
      </c>
      <c r="O141" s="546">
        <f ca="1">DSUM($B$99:$Y$128,O$99,$C$137:$D141)</f>
        <v>8.7565622651880351E-2</v>
      </c>
      <c r="P141" s="546">
        <f ca="1">DSUM($B$99:$Y$128,P$99,$C$137:$D141)</f>
        <v>6.0983521166841519E-2</v>
      </c>
      <c r="Q141" s="546">
        <f ca="1">DSUM($B$99:$Y$128,Q$99,$C$137:$D141)</f>
        <v>3.7041699258462478E-2</v>
      </c>
      <c r="R141" s="546">
        <f ca="1">DSUM($B$99:$Y$128,R$99,$C$137:$D141)</f>
        <v>1.921602692044078E-2</v>
      </c>
      <c r="S141" s="546">
        <f ca="1">DSUM($B$99:$Y$128,S$99,$C$137:$D141)</f>
        <v>8.3551169406581704E-3</v>
      </c>
      <c r="T141" s="546">
        <f ca="1">DSUM($B$99:$Y$128,T$99,$C$137:$D141)</f>
        <v>2.9766542723959075E-3</v>
      </c>
      <c r="U141" s="546">
        <f ca="1">DSUM($B$99:$Y$128,U$99,$C$137:$D141)</f>
        <v>8.4597672810473494E-4</v>
      </c>
      <c r="V141" s="546">
        <f ca="1">DSUM($B$99:$Y$128,V$99,$C$137:$D141)</f>
        <v>1.8659730407723403E-4</v>
      </c>
      <c r="W141" s="546">
        <f ca="1">DSUM($B$99:$Y$128,W$99,$C$137:$D141)</f>
        <v>3.1084647648202513E-5</v>
      </c>
      <c r="X141" s="546">
        <f ca="1">DSUM($B$99:$Y$128,X$99,$C$137:$D141)</f>
        <v>3.7677779847777202E-6</v>
      </c>
      <c r="Y141" s="546">
        <f ca="1">DSUM($B$99:$Y$128,Y$99,$C$137:$D141)</f>
        <v>1.4025179280594366</v>
      </c>
      <c r="AC141" s="530"/>
      <c r="AD141" s="530"/>
      <c r="AE141" s="530"/>
      <c r="AF141" s="530"/>
      <c r="AG141" s="530"/>
      <c r="AH141" s="530"/>
      <c r="AI141" s="530"/>
      <c r="AJ141" s="530"/>
      <c r="AK141" s="530"/>
      <c r="AL141" s="530"/>
      <c r="AM141" s="530"/>
      <c r="AN141" s="530"/>
      <c r="AO141" s="530"/>
      <c r="AP141" s="530"/>
      <c r="AQ141" s="530"/>
      <c r="AR141" s="530"/>
      <c r="AS141" s="530"/>
      <c r="AT141" s="530"/>
      <c r="AU141" s="530"/>
      <c r="AV141" s="530"/>
      <c r="AW141" s="530"/>
      <c r="AX141" s="530"/>
      <c r="AY141" s="530"/>
      <c r="AZ141" s="530"/>
      <c r="BA141" s="530"/>
      <c r="BB141" s="530"/>
      <c r="BC141" s="530"/>
      <c r="BD141" s="530"/>
      <c r="BE141" s="530"/>
      <c r="BF141" s="530"/>
      <c r="BG141" s="530"/>
      <c r="BH141" s="530"/>
      <c r="BI141" s="530"/>
      <c r="BJ141" s="530"/>
      <c r="BK141" s="530"/>
      <c r="BL141" s="530"/>
      <c r="BM141" s="530"/>
      <c r="BN141" s="530"/>
      <c r="BO141" s="530"/>
      <c r="BP141" s="530"/>
      <c r="BQ141" s="530"/>
      <c r="BR141" s="530"/>
      <c r="BS141" s="530"/>
      <c r="BT141" s="530"/>
      <c r="BU141" s="530"/>
      <c r="BV141" s="530"/>
      <c r="BW141" s="530"/>
      <c r="BX141" s="530"/>
      <c r="BY141" s="530"/>
      <c r="BZ141" s="530"/>
      <c r="CA141" s="530"/>
    </row>
    <row r="142" spans="1:80">
      <c r="B142" t="s">
        <v>402</v>
      </c>
      <c r="C142" s="550" t="s">
        <v>403</v>
      </c>
      <c r="D142" s="550" t="s">
        <v>404</v>
      </c>
      <c r="E142" s="546">
        <f ca="1">DSUM($B$99:$Y$128,E$99,$C$137:$D142)</f>
        <v>4.7411583875743547E-2</v>
      </c>
      <c r="F142" s="546">
        <f ca="1">DSUM($B$99:$Y$128,F$99,$C$137:$D142)</f>
        <v>5.8849301092899979E-2</v>
      </c>
      <c r="G142" s="546">
        <f ca="1">DSUM($B$99:$Y$128,G$99,$C$137:$D142)</f>
        <v>7.2739674831915291E-2</v>
      </c>
      <c r="H142" s="546">
        <f ca="1">DSUM($B$99:$Y$128,H$99,$C$137:$D142)</f>
        <v>8.5389162333465538E-2</v>
      </c>
      <c r="I142" s="546">
        <f ca="1">DSUM($B$99:$Y$128,I$99,$C$137:$D142)</f>
        <v>9.8509637300292746E-2</v>
      </c>
      <c r="J142" s="546">
        <f ca="1">DSUM($B$99:$Y$128,J$99,$C$137:$D142)</f>
        <v>0.11649799916880522</v>
      </c>
      <c r="K142" s="546">
        <f ca="1">DSUM($B$99:$Y$128,K$99,$C$137:$D142)</f>
        <v>0.1293359749268389</v>
      </c>
      <c r="L142" s="546">
        <f ca="1">DSUM($B$99:$Y$128,L$99,$C$137:$D142)</f>
        <v>0.13374584384196297</v>
      </c>
      <c r="M142" s="546">
        <f ca="1">DSUM($B$99:$Y$128,M$99,$C$137:$D142)</f>
        <v>0.12772168953465229</v>
      </c>
      <c r="N142" s="546">
        <f ca="1">DSUM($B$99:$Y$128,N$99,$C$137:$D142)</f>
        <v>0.11134947704273492</v>
      </c>
      <c r="O142" s="546">
        <f ca="1">DSUM($B$99:$Y$128,O$99,$C$137:$D142)</f>
        <v>8.7565622651880351E-2</v>
      </c>
      <c r="P142" s="546">
        <f ca="1">DSUM($B$99:$Y$128,P$99,$C$137:$D142)</f>
        <v>6.0983521166841519E-2</v>
      </c>
      <c r="Q142" s="546">
        <f ca="1">DSUM($B$99:$Y$128,Q$99,$C$137:$D142)</f>
        <v>3.7041699258462478E-2</v>
      </c>
      <c r="R142" s="546">
        <f ca="1">DSUM($B$99:$Y$128,R$99,$C$137:$D142)</f>
        <v>1.921602692044078E-2</v>
      </c>
      <c r="S142" s="546">
        <f ca="1">DSUM($B$99:$Y$128,S$99,$C$137:$D142)</f>
        <v>8.3551169406581704E-3</v>
      </c>
      <c r="T142" s="546">
        <f ca="1">DSUM($B$99:$Y$128,T$99,$C$137:$D142)</f>
        <v>2.9766542723959075E-3</v>
      </c>
      <c r="U142" s="546">
        <f ca="1">DSUM($B$99:$Y$128,U$99,$C$137:$D142)</f>
        <v>8.4597672810473494E-4</v>
      </c>
      <c r="V142" s="546">
        <f ca="1">DSUM($B$99:$Y$128,V$99,$C$137:$D142)</f>
        <v>1.8659730407723403E-4</v>
      </c>
      <c r="W142" s="546">
        <f ca="1">DSUM($B$99:$Y$128,W$99,$C$137:$D142)</f>
        <v>3.1084647648202513E-5</v>
      </c>
      <c r="X142" s="546">
        <f ca="1">DSUM($B$99:$Y$128,X$99,$C$137:$D142)</f>
        <v>3.7677779847777202E-6</v>
      </c>
      <c r="Y142" s="546">
        <f ca="1">DSUM($B$99:$Y$128,Y$99,$C$137:$D142)</f>
        <v>1.4025179280594366</v>
      </c>
      <c r="AC142" s="530"/>
      <c r="AD142" s="530"/>
      <c r="AE142" s="530"/>
      <c r="AF142" s="530"/>
      <c r="AG142" s="530"/>
      <c r="AH142" s="530"/>
      <c r="AI142" s="530"/>
      <c r="AJ142" s="530"/>
      <c r="AK142" s="530"/>
      <c r="AL142" s="530"/>
      <c r="AM142" s="530"/>
      <c r="AN142" s="530"/>
      <c r="AO142" s="530"/>
      <c r="AP142" s="530"/>
      <c r="AQ142" s="530"/>
      <c r="AR142" s="530"/>
      <c r="AS142" s="530"/>
      <c r="AT142" s="530"/>
      <c r="AU142" s="530"/>
      <c r="AV142" s="530"/>
      <c r="AW142" s="530"/>
      <c r="AX142" s="530"/>
      <c r="AY142" s="530"/>
      <c r="AZ142" s="530"/>
      <c r="BA142" s="530"/>
      <c r="BB142" s="530"/>
      <c r="BC142" s="530"/>
      <c r="BD142" s="530"/>
      <c r="BE142" s="530"/>
      <c r="BF142" s="530"/>
      <c r="BG142" s="530"/>
      <c r="BH142" s="530"/>
      <c r="BI142" s="530"/>
      <c r="BJ142" s="530"/>
      <c r="BK142" s="530"/>
      <c r="BL142" s="530"/>
      <c r="BM142" s="530"/>
      <c r="BN142" s="530"/>
      <c r="BO142" s="530"/>
      <c r="BP142" s="530"/>
      <c r="BQ142" s="530"/>
      <c r="BR142" s="530"/>
      <c r="BS142" s="530"/>
      <c r="BT142" s="530"/>
      <c r="BU142" s="530"/>
      <c r="BV142" s="530"/>
      <c r="BW142" s="530"/>
      <c r="BX142" s="530"/>
      <c r="BY142" s="530"/>
      <c r="BZ142" s="530"/>
      <c r="CA142" s="530"/>
    </row>
    <row r="143" spans="1:80">
      <c r="B143" t="s">
        <v>405</v>
      </c>
      <c r="C143" s="550" t="s">
        <v>406</v>
      </c>
      <c r="D143" s="550" t="s">
        <v>407</v>
      </c>
      <c r="E143" s="546">
        <f ca="1">DSUM($B$99:$Y$128,E$99,$C$137:$D143)</f>
        <v>4.7411583875743547E-2</v>
      </c>
      <c r="F143" s="546">
        <f ca="1">DSUM($B$99:$Y$128,F$99,$C$137:$D143)</f>
        <v>5.8849301092899979E-2</v>
      </c>
      <c r="G143" s="546">
        <f ca="1">DSUM($B$99:$Y$128,G$99,$C$137:$D143)</f>
        <v>7.2739674831915291E-2</v>
      </c>
      <c r="H143" s="546">
        <f ca="1">DSUM($B$99:$Y$128,H$99,$C$137:$D143)</f>
        <v>8.5389162333465538E-2</v>
      </c>
      <c r="I143" s="546">
        <f ca="1">DSUM($B$99:$Y$128,I$99,$C$137:$D143)</f>
        <v>9.8509637300292746E-2</v>
      </c>
      <c r="J143" s="546">
        <f ca="1">DSUM($B$99:$Y$128,J$99,$C$137:$D143)</f>
        <v>0.11649799916880522</v>
      </c>
      <c r="K143" s="546">
        <f ca="1">DSUM($B$99:$Y$128,K$99,$C$137:$D143)</f>
        <v>0.1293359749268389</v>
      </c>
      <c r="L143" s="546">
        <f ca="1">DSUM($B$99:$Y$128,L$99,$C$137:$D143)</f>
        <v>0.13374584384196297</v>
      </c>
      <c r="M143" s="546">
        <f ca="1">DSUM($B$99:$Y$128,M$99,$C$137:$D143)</f>
        <v>0.12772168953465229</v>
      </c>
      <c r="N143" s="546">
        <f ca="1">DSUM($B$99:$Y$128,N$99,$C$137:$D143)</f>
        <v>0.11134947704273492</v>
      </c>
      <c r="O143" s="546">
        <f ca="1">DSUM($B$99:$Y$128,O$99,$C$137:$D143)</f>
        <v>8.7565622651880351E-2</v>
      </c>
      <c r="P143" s="546">
        <f ca="1">DSUM($B$99:$Y$128,P$99,$C$137:$D143)</f>
        <v>6.0983521166841519E-2</v>
      </c>
      <c r="Q143" s="546">
        <f ca="1">DSUM($B$99:$Y$128,Q$99,$C$137:$D143)</f>
        <v>3.7041699258462478E-2</v>
      </c>
      <c r="R143" s="546">
        <f ca="1">DSUM($B$99:$Y$128,R$99,$C$137:$D143)</f>
        <v>1.921602692044078E-2</v>
      </c>
      <c r="S143" s="546">
        <f ca="1">DSUM($B$99:$Y$128,S$99,$C$137:$D143)</f>
        <v>8.3551169406581704E-3</v>
      </c>
      <c r="T143" s="546">
        <f ca="1">DSUM($B$99:$Y$128,T$99,$C$137:$D143)</f>
        <v>2.9766542723959075E-3</v>
      </c>
      <c r="U143" s="546">
        <f ca="1">DSUM($B$99:$Y$128,U$99,$C$137:$D143)</f>
        <v>8.4597672810473494E-4</v>
      </c>
      <c r="V143" s="546">
        <f ca="1">DSUM($B$99:$Y$128,V$99,$C$137:$D143)</f>
        <v>1.8659730407723403E-4</v>
      </c>
      <c r="W143" s="546">
        <f ca="1">DSUM($B$99:$Y$128,W$99,$C$137:$D143)</f>
        <v>3.1084647648202513E-5</v>
      </c>
      <c r="X143" s="546">
        <f ca="1">DSUM($B$99:$Y$128,X$99,$C$137:$D143)</f>
        <v>3.7677779847777202E-6</v>
      </c>
      <c r="Y143" s="546">
        <f ca="1">DSUM($B$99:$Y$128,Y$99,$C$137:$D143)</f>
        <v>1.4025179280594366</v>
      </c>
      <c r="AC143" s="530"/>
      <c r="AD143" s="530"/>
      <c r="AE143" s="530"/>
      <c r="AF143" s="530"/>
      <c r="AG143" s="530"/>
      <c r="AH143" s="530"/>
      <c r="AI143" s="530"/>
      <c r="AJ143" s="530"/>
      <c r="AK143" s="530"/>
      <c r="AL143" s="530"/>
      <c r="AM143" s="530"/>
      <c r="AN143" s="530"/>
      <c r="AO143" s="530"/>
      <c r="AP143" s="530"/>
      <c r="AQ143" s="530"/>
      <c r="AR143" s="530"/>
      <c r="AS143" s="530"/>
      <c r="AT143" s="530"/>
      <c r="AU143" s="530"/>
      <c r="AV143" s="530"/>
      <c r="AW143" s="530"/>
      <c r="AX143" s="530"/>
      <c r="AY143" s="530"/>
      <c r="AZ143" s="530"/>
      <c r="BA143" s="530"/>
      <c r="BB143" s="530"/>
      <c r="BC143" s="530"/>
      <c r="BD143" s="530"/>
      <c r="BE143" s="530"/>
      <c r="BF143" s="530"/>
      <c r="BG143" s="530"/>
      <c r="BH143" s="530"/>
      <c r="BI143" s="530"/>
      <c r="BJ143" s="530"/>
      <c r="BK143" s="530"/>
      <c r="BL143" s="530"/>
      <c r="BM143" s="530"/>
      <c r="BN143" s="530"/>
      <c r="BO143" s="530"/>
      <c r="BP143" s="530"/>
      <c r="BQ143" s="530"/>
      <c r="BR143" s="530"/>
      <c r="BS143" s="530"/>
      <c r="BT143" s="530"/>
      <c r="BU143" s="530"/>
      <c r="BV143" s="530"/>
      <c r="BW143" s="530"/>
      <c r="BX143" s="530"/>
      <c r="BY143" s="530"/>
      <c r="BZ143" s="530"/>
      <c r="CA143" s="530"/>
    </row>
    <row r="144" spans="1:80">
      <c r="B144" t="s">
        <v>408</v>
      </c>
      <c r="C144" s="550" t="s">
        <v>409</v>
      </c>
      <c r="D144" s="550" t="s">
        <v>410</v>
      </c>
      <c r="E144" s="546">
        <f ca="1">DSUM($B$99:$Y$128,E$99,$C$137:$D144)</f>
        <v>4.7411583875743547E-2</v>
      </c>
      <c r="F144" s="546">
        <f ca="1">DSUM($B$99:$Y$128,F$99,$C$137:$D144)</f>
        <v>5.8849301092899979E-2</v>
      </c>
      <c r="G144" s="546">
        <f ca="1">DSUM($B$99:$Y$128,G$99,$C$137:$D144)</f>
        <v>7.2739674831915291E-2</v>
      </c>
      <c r="H144" s="546">
        <f ca="1">DSUM($B$99:$Y$128,H$99,$C$137:$D144)</f>
        <v>8.5389162333465538E-2</v>
      </c>
      <c r="I144" s="546">
        <f ca="1">DSUM($B$99:$Y$128,I$99,$C$137:$D144)</f>
        <v>9.8509637300292746E-2</v>
      </c>
      <c r="J144" s="546">
        <f ca="1">DSUM($B$99:$Y$128,J$99,$C$137:$D144)</f>
        <v>0.11649799916880522</v>
      </c>
      <c r="K144" s="546">
        <f ca="1">DSUM($B$99:$Y$128,K$99,$C$137:$D144)</f>
        <v>0.1293359749268389</v>
      </c>
      <c r="L144" s="546">
        <f ca="1">DSUM($B$99:$Y$128,L$99,$C$137:$D144)</f>
        <v>0.13374584384196297</v>
      </c>
      <c r="M144" s="546">
        <f ca="1">DSUM($B$99:$Y$128,M$99,$C$137:$D144)</f>
        <v>0.12772168953465229</v>
      </c>
      <c r="N144" s="546">
        <f ca="1">DSUM($B$99:$Y$128,N$99,$C$137:$D144)</f>
        <v>0.11134947704273492</v>
      </c>
      <c r="O144" s="546">
        <f ca="1">DSUM($B$99:$Y$128,O$99,$C$137:$D144)</f>
        <v>8.7565622651880351E-2</v>
      </c>
      <c r="P144" s="546">
        <f ca="1">DSUM($B$99:$Y$128,P$99,$C$137:$D144)</f>
        <v>6.0983521166841519E-2</v>
      </c>
      <c r="Q144" s="546">
        <f ca="1">DSUM($B$99:$Y$128,Q$99,$C$137:$D144)</f>
        <v>3.7041699258462478E-2</v>
      </c>
      <c r="R144" s="546">
        <f ca="1">DSUM($B$99:$Y$128,R$99,$C$137:$D144)</f>
        <v>1.921602692044078E-2</v>
      </c>
      <c r="S144" s="546">
        <f ca="1">DSUM($B$99:$Y$128,S$99,$C$137:$D144)</f>
        <v>8.3551169406581704E-3</v>
      </c>
      <c r="T144" s="546">
        <f ca="1">DSUM($B$99:$Y$128,T$99,$C$137:$D144)</f>
        <v>2.9766542723959075E-3</v>
      </c>
      <c r="U144" s="546">
        <f ca="1">DSUM($B$99:$Y$128,U$99,$C$137:$D144)</f>
        <v>8.4597672810473494E-4</v>
      </c>
      <c r="V144" s="546">
        <f ca="1">DSUM($B$99:$Y$128,V$99,$C$137:$D144)</f>
        <v>1.8659730407723403E-4</v>
      </c>
      <c r="W144" s="546">
        <f ca="1">DSUM($B$99:$Y$128,W$99,$C$137:$D144)</f>
        <v>3.1084647648202513E-5</v>
      </c>
      <c r="X144" s="546">
        <f ca="1">DSUM($B$99:$Y$128,X$99,$C$137:$D144)</f>
        <v>3.7677779847777202E-6</v>
      </c>
      <c r="Y144" s="546">
        <f ca="1">DSUM($B$99:$Y$128,Y$99,$C$137:$D144)</f>
        <v>1.4025179280594366</v>
      </c>
      <c r="AC144" s="530"/>
      <c r="AD144" s="530"/>
      <c r="AE144" s="530"/>
      <c r="AF144" s="530"/>
      <c r="AG144" s="530"/>
      <c r="AH144" s="530"/>
      <c r="AI144" s="530"/>
      <c r="AJ144" s="530"/>
      <c r="AK144" s="530"/>
      <c r="AL144" s="530"/>
      <c r="AM144" s="530"/>
      <c r="AN144" s="530"/>
      <c r="AO144" s="530"/>
      <c r="AP144" s="530"/>
      <c r="AQ144" s="530"/>
      <c r="AR144" s="530"/>
      <c r="AS144" s="530"/>
      <c r="AT144" s="530"/>
      <c r="AU144" s="530"/>
      <c r="AV144" s="530"/>
      <c r="AW144" s="530"/>
      <c r="AX144" s="530"/>
      <c r="AY144" s="530"/>
      <c r="AZ144" s="530"/>
      <c r="BA144" s="530"/>
      <c r="BB144" s="530"/>
      <c r="BC144" s="530"/>
      <c r="BD144" s="530"/>
      <c r="BE144" s="530"/>
      <c r="BF144" s="530"/>
      <c r="BG144" s="530"/>
      <c r="BH144" s="530"/>
      <c r="BI144" s="530"/>
      <c r="BJ144" s="530"/>
      <c r="BK144" s="530"/>
      <c r="BL144" s="530"/>
      <c r="BM144" s="530"/>
      <c r="BN144" s="530"/>
      <c r="BO144" s="530"/>
      <c r="BP144" s="530"/>
      <c r="BQ144" s="530"/>
      <c r="BR144" s="530"/>
      <c r="BS144" s="530"/>
      <c r="BT144" s="530"/>
      <c r="BU144" s="530"/>
      <c r="BV144" s="530"/>
      <c r="BW144" s="530"/>
      <c r="BX144" s="530"/>
      <c r="BY144" s="530"/>
      <c r="BZ144" s="530"/>
      <c r="CA144" s="530"/>
    </row>
    <row r="145" spans="2:79">
      <c r="B145" t="s">
        <v>411</v>
      </c>
      <c r="C145" s="550" t="s">
        <v>412</v>
      </c>
      <c r="D145" s="550" t="s">
        <v>413</v>
      </c>
      <c r="E145" s="546">
        <f ca="1">DSUM($B$99:$Y$128,E$99,$C$137:$D145)</f>
        <v>4.7411583875743547E-2</v>
      </c>
      <c r="F145" s="546">
        <f ca="1">DSUM($B$99:$Y$128,F$99,$C$137:$D145)</f>
        <v>5.8849301092899979E-2</v>
      </c>
      <c r="G145" s="546">
        <f ca="1">DSUM($B$99:$Y$128,G$99,$C$137:$D145)</f>
        <v>7.2739674831915291E-2</v>
      </c>
      <c r="H145" s="546">
        <f ca="1">DSUM($B$99:$Y$128,H$99,$C$137:$D145)</f>
        <v>8.5389162333465538E-2</v>
      </c>
      <c r="I145" s="546">
        <f ca="1">DSUM($B$99:$Y$128,I$99,$C$137:$D145)</f>
        <v>9.8509637300292746E-2</v>
      </c>
      <c r="J145" s="546">
        <f ca="1">DSUM($B$99:$Y$128,J$99,$C$137:$D145)</f>
        <v>0.11649799916880522</v>
      </c>
      <c r="K145" s="546">
        <f ca="1">DSUM($B$99:$Y$128,K$99,$C$137:$D145)</f>
        <v>0.1293359749268389</v>
      </c>
      <c r="L145" s="546">
        <f ca="1">DSUM($B$99:$Y$128,L$99,$C$137:$D145)</f>
        <v>0.13374584384196297</v>
      </c>
      <c r="M145" s="546">
        <f ca="1">DSUM($B$99:$Y$128,M$99,$C$137:$D145)</f>
        <v>0.12772168953465229</v>
      </c>
      <c r="N145" s="546">
        <f ca="1">DSUM($B$99:$Y$128,N$99,$C$137:$D145)</f>
        <v>0.11134947704273492</v>
      </c>
      <c r="O145" s="546">
        <f ca="1">DSUM($B$99:$Y$128,O$99,$C$137:$D145)</f>
        <v>8.7565622651880351E-2</v>
      </c>
      <c r="P145" s="546">
        <f ca="1">DSUM($B$99:$Y$128,P$99,$C$137:$D145)</f>
        <v>6.0983521166841519E-2</v>
      </c>
      <c r="Q145" s="546">
        <f ca="1">DSUM($B$99:$Y$128,Q$99,$C$137:$D145)</f>
        <v>3.7041699258462478E-2</v>
      </c>
      <c r="R145" s="546">
        <f ca="1">DSUM($B$99:$Y$128,R$99,$C$137:$D145)</f>
        <v>1.921602692044078E-2</v>
      </c>
      <c r="S145" s="546">
        <f ca="1">DSUM($B$99:$Y$128,S$99,$C$137:$D145)</f>
        <v>8.3551169406581704E-3</v>
      </c>
      <c r="T145" s="546">
        <f ca="1">DSUM($B$99:$Y$128,T$99,$C$137:$D145)</f>
        <v>2.9766542723959075E-3</v>
      </c>
      <c r="U145" s="546">
        <f ca="1">DSUM($B$99:$Y$128,U$99,$C$137:$D145)</f>
        <v>8.4597672810473494E-4</v>
      </c>
      <c r="V145" s="546">
        <f ca="1">DSUM($B$99:$Y$128,V$99,$C$137:$D145)</f>
        <v>1.8659730407723403E-4</v>
      </c>
      <c r="W145" s="546">
        <f ca="1">DSUM($B$99:$Y$128,W$99,$C$137:$D145)</f>
        <v>3.1084647648202513E-5</v>
      </c>
      <c r="X145" s="546">
        <f ca="1">DSUM($B$99:$Y$128,X$99,$C$137:$D145)</f>
        <v>3.7677779847777202E-6</v>
      </c>
      <c r="Y145" s="546">
        <f ca="1">DSUM($B$99:$Y$128,Y$99,$C$137:$D145)</f>
        <v>1.4025179280594366</v>
      </c>
      <c r="AC145" s="530"/>
      <c r="AD145" s="530"/>
      <c r="AE145" s="530"/>
      <c r="AF145" s="530"/>
      <c r="AG145" s="530"/>
      <c r="AH145" s="530"/>
      <c r="AI145" s="530"/>
      <c r="AJ145" s="530"/>
      <c r="AK145" s="530"/>
      <c r="AL145" s="530"/>
      <c r="AM145" s="530"/>
      <c r="AN145" s="530"/>
      <c r="AO145" s="530"/>
      <c r="AP145" s="530"/>
      <c r="AQ145" s="530"/>
      <c r="AR145" s="530"/>
      <c r="AS145" s="530"/>
      <c r="AT145" s="530"/>
      <c r="AU145" s="530"/>
      <c r="AV145" s="530"/>
      <c r="AW145" s="530"/>
      <c r="AX145" s="530"/>
      <c r="AY145" s="530"/>
      <c r="AZ145" s="530"/>
      <c r="BA145" s="530"/>
      <c r="BB145" s="530"/>
      <c r="BC145" s="530"/>
      <c r="BD145" s="530"/>
      <c r="BE145" s="530"/>
      <c r="BF145" s="530"/>
      <c r="BG145" s="530"/>
      <c r="BH145" s="530"/>
      <c r="BI145" s="530"/>
      <c r="BJ145" s="530"/>
      <c r="BK145" s="530"/>
      <c r="BL145" s="530"/>
      <c r="BM145" s="530"/>
      <c r="BN145" s="530"/>
      <c r="BO145" s="530"/>
      <c r="BP145" s="530"/>
      <c r="BQ145" s="530"/>
      <c r="BR145" s="530"/>
      <c r="BS145" s="530"/>
      <c r="BT145" s="530"/>
      <c r="BU145" s="530"/>
      <c r="BV145" s="530"/>
      <c r="BW145" s="530"/>
      <c r="BX145" s="530"/>
      <c r="BY145" s="530"/>
      <c r="BZ145" s="530"/>
      <c r="CA145" s="530"/>
    </row>
    <row r="146" spans="2:79">
      <c r="B146" t="s">
        <v>414</v>
      </c>
      <c r="C146" s="550" t="s">
        <v>415</v>
      </c>
      <c r="D146" s="550" t="s">
        <v>416</v>
      </c>
      <c r="E146" s="546">
        <f ca="1">DSUM($B$99:$Y$128,E$99,$C$137:$D146)</f>
        <v>4.7411583875743547E-2</v>
      </c>
      <c r="F146" s="546">
        <f ca="1">DSUM($B$99:$Y$128,F$99,$C$137:$D146)</f>
        <v>5.8849301092899979E-2</v>
      </c>
      <c r="G146" s="546">
        <f ca="1">DSUM($B$99:$Y$128,G$99,$C$137:$D146)</f>
        <v>7.2739674831915291E-2</v>
      </c>
      <c r="H146" s="546">
        <f ca="1">DSUM($B$99:$Y$128,H$99,$C$137:$D146)</f>
        <v>8.5389162333465538E-2</v>
      </c>
      <c r="I146" s="546">
        <f ca="1">DSUM($B$99:$Y$128,I$99,$C$137:$D146)</f>
        <v>9.8509637300292746E-2</v>
      </c>
      <c r="J146" s="546">
        <f ca="1">DSUM($B$99:$Y$128,J$99,$C$137:$D146)</f>
        <v>0.11649799916880522</v>
      </c>
      <c r="K146" s="546">
        <f ca="1">DSUM($B$99:$Y$128,K$99,$C$137:$D146)</f>
        <v>0.1293359749268389</v>
      </c>
      <c r="L146" s="546">
        <f ca="1">DSUM($B$99:$Y$128,L$99,$C$137:$D146)</f>
        <v>0.13374584384196297</v>
      </c>
      <c r="M146" s="546">
        <f ca="1">DSUM($B$99:$Y$128,M$99,$C$137:$D146)</f>
        <v>0.12772168953465229</v>
      </c>
      <c r="N146" s="546">
        <f ca="1">DSUM($B$99:$Y$128,N$99,$C$137:$D146)</f>
        <v>0.11134947704273492</v>
      </c>
      <c r="O146" s="546">
        <f ca="1">DSUM($B$99:$Y$128,O$99,$C$137:$D146)</f>
        <v>8.7565622651880351E-2</v>
      </c>
      <c r="P146" s="546">
        <f ca="1">DSUM($B$99:$Y$128,P$99,$C$137:$D146)</f>
        <v>6.0983521166841519E-2</v>
      </c>
      <c r="Q146" s="546">
        <f ca="1">DSUM($B$99:$Y$128,Q$99,$C$137:$D146)</f>
        <v>3.7041699258462478E-2</v>
      </c>
      <c r="R146" s="546">
        <f ca="1">DSUM($B$99:$Y$128,R$99,$C$137:$D146)</f>
        <v>1.921602692044078E-2</v>
      </c>
      <c r="S146" s="546">
        <f ca="1">DSUM($B$99:$Y$128,S$99,$C$137:$D146)</f>
        <v>8.3551169406581704E-3</v>
      </c>
      <c r="T146" s="546">
        <f ca="1">DSUM($B$99:$Y$128,T$99,$C$137:$D146)</f>
        <v>2.9766542723959075E-3</v>
      </c>
      <c r="U146" s="546">
        <f ca="1">DSUM($B$99:$Y$128,U$99,$C$137:$D146)</f>
        <v>8.4597672810473494E-4</v>
      </c>
      <c r="V146" s="546">
        <f ca="1">DSUM($B$99:$Y$128,V$99,$C$137:$D146)</f>
        <v>1.8659730407723403E-4</v>
      </c>
      <c r="W146" s="546">
        <f ca="1">DSUM($B$99:$Y$128,W$99,$C$137:$D146)</f>
        <v>3.1084647648202513E-5</v>
      </c>
      <c r="X146" s="546">
        <f ca="1">DSUM($B$99:$Y$128,X$99,$C$137:$D146)</f>
        <v>3.7677779847777202E-6</v>
      </c>
      <c r="Y146" s="546">
        <f ca="1">DSUM($B$99:$Y$128,Y$99,$C$137:$D146)</f>
        <v>1.4025179280594366</v>
      </c>
      <c r="AC146" s="530"/>
      <c r="AD146" s="530"/>
      <c r="AE146" s="530"/>
      <c r="AF146" s="530"/>
      <c r="AG146" s="530"/>
      <c r="AH146" s="530"/>
      <c r="AI146" s="530"/>
      <c r="AJ146" s="530"/>
      <c r="AK146" s="530"/>
      <c r="AL146" s="530"/>
      <c r="AM146" s="530"/>
      <c r="AN146" s="530"/>
      <c r="AO146" s="530"/>
      <c r="AP146" s="530"/>
      <c r="AQ146" s="530"/>
      <c r="AR146" s="530"/>
      <c r="AS146" s="530"/>
      <c r="AT146" s="530"/>
      <c r="AU146" s="530"/>
      <c r="AV146" s="530"/>
      <c r="AW146" s="530"/>
      <c r="AX146" s="530"/>
      <c r="AY146" s="530"/>
      <c r="AZ146" s="530"/>
      <c r="BA146" s="530"/>
      <c r="BB146" s="530"/>
      <c r="BC146" s="530"/>
      <c r="BD146" s="530"/>
      <c r="BE146" s="530"/>
      <c r="BF146" s="530"/>
      <c r="BG146" s="530"/>
      <c r="BH146" s="530"/>
      <c r="BI146" s="530"/>
      <c r="BJ146" s="530"/>
      <c r="BK146" s="530"/>
      <c r="BL146" s="530"/>
      <c r="BM146" s="530"/>
      <c r="BN146" s="530"/>
      <c r="BO146" s="530"/>
      <c r="BP146" s="530"/>
      <c r="BQ146" s="530"/>
      <c r="BR146" s="530"/>
      <c r="BS146" s="530"/>
      <c r="BT146" s="530"/>
      <c r="BU146" s="530"/>
      <c r="BV146" s="530"/>
      <c r="BW146" s="530"/>
      <c r="BX146" s="530"/>
      <c r="BY146" s="530"/>
      <c r="BZ146" s="530"/>
      <c r="CA146" s="530"/>
    </row>
    <row r="147" spans="2:79">
      <c r="B147" t="s">
        <v>417</v>
      </c>
      <c r="C147" s="550" t="s">
        <v>418</v>
      </c>
      <c r="D147" s="550" t="s">
        <v>419</v>
      </c>
      <c r="E147" s="546">
        <f ca="1">DSUM($B$99:$Y$128,E$99,$C$137:$D147)</f>
        <v>4.7411583875743547E-2</v>
      </c>
      <c r="F147" s="546">
        <f ca="1">DSUM($B$99:$Y$128,F$99,$C$137:$D147)</f>
        <v>5.8849301092899979E-2</v>
      </c>
      <c r="G147" s="546">
        <f ca="1">DSUM($B$99:$Y$128,G$99,$C$137:$D147)</f>
        <v>7.2739674831915291E-2</v>
      </c>
      <c r="H147" s="546">
        <f ca="1">DSUM($B$99:$Y$128,H$99,$C$137:$D147)</f>
        <v>8.5389162333465538E-2</v>
      </c>
      <c r="I147" s="546">
        <f ca="1">DSUM($B$99:$Y$128,I$99,$C$137:$D147)</f>
        <v>9.8509637300292746E-2</v>
      </c>
      <c r="J147" s="546">
        <f ca="1">DSUM($B$99:$Y$128,J$99,$C$137:$D147)</f>
        <v>0.11649799916880522</v>
      </c>
      <c r="K147" s="546">
        <f ca="1">DSUM($B$99:$Y$128,K$99,$C$137:$D147)</f>
        <v>0.1293359749268389</v>
      </c>
      <c r="L147" s="546">
        <f ca="1">DSUM($B$99:$Y$128,L$99,$C$137:$D147)</f>
        <v>0.13374584384196297</v>
      </c>
      <c r="M147" s="546">
        <f ca="1">DSUM($B$99:$Y$128,M$99,$C$137:$D147)</f>
        <v>0.12772168953465229</v>
      </c>
      <c r="N147" s="546">
        <f ca="1">DSUM($B$99:$Y$128,N$99,$C$137:$D147)</f>
        <v>0.11134947704273492</v>
      </c>
      <c r="O147" s="546">
        <f ca="1">DSUM($B$99:$Y$128,O$99,$C$137:$D147)</f>
        <v>8.7565622651880351E-2</v>
      </c>
      <c r="P147" s="546">
        <f ca="1">DSUM($B$99:$Y$128,P$99,$C$137:$D147)</f>
        <v>6.0983521166841519E-2</v>
      </c>
      <c r="Q147" s="546">
        <f ca="1">DSUM($B$99:$Y$128,Q$99,$C$137:$D147)</f>
        <v>3.7041699258462478E-2</v>
      </c>
      <c r="R147" s="546">
        <f ca="1">DSUM($B$99:$Y$128,R$99,$C$137:$D147)</f>
        <v>1.921602692044078E-2</v>
      </c>
      <c r="S147" s="546">
        <f ca="1">DSUM($B$99:$Y$128,S$99,$C$137:$D147)</f>
        <v>8.3551169406581704E-3</v>
      </c>
      <c r="T147" s="546">
        <f ca="1">DSUM($B$99:$Y$128,T$99,$C$137:$D147)</f>
        <v>2.9766542723959075E-3</v>
      </c>
      <c r="U147" s="546">
        <f ca="1">DSUM($B$99:$Y$128,U$99,$C$137:$D147)</f>
        <v>8.4597672810473494E-4</v>
      </c>
      <c r="V147" s="546">
        <f ca="1">DSUM($B$99:$Y$128,V$99,$C$137:$D147)</f>
        <v>1.8659730407723403E-4</v>
      </c>
      <c r="W147" s="546">
        <f ca="1">DSUM($B$99:$Y$128,W$99,$C$137:$D147)</f>
        <v>3.1084647648202513E-5</v>
      </c>
      <c r="X147" s="546">
        <f ca="1">DSUM($B$99:$Y$128,X$99,$C$137:$D147)</f>
        <v>3.7677779847777202E-6</v>
      </c>
      <c r="Y147" s="546">
        <f ca="1">DSUM($B$99:$Y$128,Y$99,$C$137:$D147)</f>
        <v>1.4025179280594366</v>
      </c>
      <c r="AC147" s="530"/>
      <c r="AD147" s="530"/>
      <c r="AE147" s="530"/>
      <c r="AF147" s="530"/>
      <c r="AG147" s="530"/>
      <c r="AH147" s="530"/>
      <c r="AI147" s="530"/>
      <c r="AJ147" s="530"/>
      <c r="AK147" s="530"/>
      <c r="AL147" s="530"/>
      <c r="AM147" s="530"/>
      <c r="AN147" s="530"/>
      <c r="AO147" s="530"/>
      <c r="AP147" s="530"/>
      <c r="AQ147" s="530"/>
      <c r="AR147" s="530"/>
      <c r="AS147" s="530"/>
      <c r="AT147" s="530"/>
      <c r="AU147" s="530"/>
      <c r="AV147" s="530"/>
      <c r="AW147" s="530"/>
      <c r="AX147" s="530"/>
      <c r="AY147" s="530"/>
      <c r="AZ147" s="530"/>
      <c r="BA147" s="530"/>
      <c r="BB147" s="530"/>
      <c r="BC147" s="530"/>
      <c r="BD147" s="530"/>
      <c r="BE147" s="530"/>
      <c r="BF147" s="530"/>
      <c r="BG147" s="530"/>
      <c r="BH147" s="530"/>
      <c r="BI147" s="530"/>
      <c r="BJ147" s="530"/>
      <c r="BK147" s="530"/>
      <c r="BL147" s="530"/>
      <c r="BM147" s="530"/>
      <c r="BN147" s="530"/>
      <c r="BO147" s="530"/>
      <c r="BP147" s="530"/>
      <c r="BQ147" s="530"/>
      <c r="BR147" s="530"/>
      <c r="BS147" s="530"/>
      <c r="BT147" s="530"/>
      <c r="BU147" s="530"/>
      <c r="BV147" s="530"/>
      <c r="BW147" s="530"/>
      <c r="BX147" s="530"/>
      <c r="BY147" s="530"/>
      <c r="BZ147" s="530"/>
      <c r="CA147" s="530"/>
    </row>
    <row r="148" spans="2:79">
      <c r="B148" t="s">
        <v>420</v>
      </c>
      <c r="C148" s="550" t="s">
        <v>421</v>
      </c>
      <c r="D148" s="550" t="s">
        <v>422</v>
      </c>
      <c r="E148" s="546">
        <f ca="1">DSUM($B$99:$Y$128,E$99,$C$137:$D148)</f>
        <v>4.7411583875743547E-2</v>
      </c>
      <c r="F148" s="546">
        <f ca="1">DSUM($B$99:$Y$128,F$99,$C$137:$D148)</f>
        <v>5.8849301092899979E-2</v>
      </c>
      <c r="G148" s="546">
        <f ca="1">DSUM($B$99:$Y$128,G$99,$C$137:$D148)</f>
        <v>7.2739674831915291E-2</v>
      </c>
      <c r="H148" s="546">
        <f ca="1">DSUM($B$99:$Y$128,H$99,$C$137:$D148)</f>
        <v>8.5389162333465538E-2</v>
      </c>
      <c r="I148" s="546">
        <f ca="1">DSUM($B$99:$Y$128,I$99,$C$137:$D148)</f>
        <v>9.8509637300292746E-2</v>
      </c>
      <c r="J148" s="546">
        <f ca="1">DSUM($B$99:$Y$128,J$99,$C$137:$D148)</f>
        <v>0.11649799916880522</v>
      </c>
      <c r="K148" s="546">
        <f ca="1">DSUM($B$99:$Y$128,K$99,$C$137:$D148)</f>
        <v>0.1293359749268389</v>
      </c>
      <c r="L148" s="546">
        <f ca="1">DSUM($B$99:$Y$128,L$99,$C$137:$D148)</f>
        <v>0.13374584384196297</v>
      </c>
      <c r="M148" s="546">
        <f ca="1">DSUM($B$99:$Y$128,M$99,$C$137:$D148)</f>
        <v>0.12772168953465229</v>
      </c>
      <c r="N148" s="546">
        <f ca="1">DSUM($B$99:$Y$128,N$99,$C$137:$D148)</f>
        <v>0.11134947704273492</v>
      </c>
      <c r="O148" s="546">
        <f ca="1">DSUM($B$99:$Y$128,O$99,$C$137:$D148)</f>
        <v>8.7565622651880351E-2</v>
      </c>
      <c r="P148" s="546">
        <f ca="1">DSUM($B$99:$Y$128,P$99,$C$137:$D148)</f>
        <v>6.0983521166841519E-2</v>
      </c>
      <c r="Q148" s="546">
        <f ca="1">DSUM($B$99:$Y$128,Q$99,$C$137:$D148)</f>
        <v>3.7041699258462478E-2</v>
      </c>
      <c r="R148" s="546">
        <f ca="1">DSUM($B$99:$Y$128,R$99,$C$137:$D148)</f>
        <v>1.921602692044078E-2</v>
      </c>
      <c r="S148" s="546">
        <f ca="1">DSUM($B$99:$Y$128,S$99,$C$137:$D148)</f>
        <v>8.3551169406581704E-3</v>
      </c>
      <c r="T148" s="546">
        <f ca="1">DSUM($B$99:$Y$128,T$99,$C$137:$D148)</f>
        <v>2.9766542723959075E-3</v>
      </c>
      <c r="U148" s="546">
        <f ca="1">DSUM($B$99:$Y$128,U$99,$C$137:$D148)</f>
        <v>8.4597672810473494E-4</v>
      </c>
      <c r="V148" s="546">
        <f ca="1">DSUM($B$99:$Y$128,V$99,$C$137:$D148)</f>
        <v>1.8659730407723403E-4</v>
      </c>
      <c r="W148" s="546">
        <f ca="1">DSUM($B$99:$Y$128,W$99,$C$137:$D148)</f>
        <v>3.1084647648202513E-5</v>
      </c>
      <c r="X148" s="546">
        <f ca="1">DSUM($B$99:$Y$128,X$99,$C$137:$D148)</f>
        <v>3.7677779847777202E-6</v>
      </c>
      <c r="Y148" s="546">
        <f ca="1">DSUM($B$99:$Y$128,Y$99,$C$137:$D148)</f>
        <v>1.4025179280594366</v>
      </c>
      <c r="AC148" s="530"/>
      <c r="AD148" s="530"/>
      <c r="AE148" s="530"/>
      <c r="AF148" s="530"/>
      <c r="AG148" s="530"/>
      <c r="AH148" s="530"/>
      <c r="AI148" s="530"/>
      <c r="AJ148" s="530"/>
      <c r="AK148" s="530"/>
      <c r="AL148" s="530"/>
      <c r="AM148" s="530"/>
      <c r="AN148" s="530"/>
      <c r="AO148" s="530"/>
      <c r="AP148" s="530"/>
      <c r="AQ148" s="530"/>
      <c r="AR148" s="530"/>
      <c r="AS148" s="530"/>
      <c r="AT148" s="530"/>
      <c r="AU148" s="530"/>
      <c r="AV148" s="530"/>
      <c r="AW148" s="530"/>
      <c r="AX148" s="530"/>
      <c r="AY148" s="530"/>
      <c r="AZ148" s="530"/>
      <c r="BA148" s="530"/>
      <c r="BB148" s="530"/>
      <c r="BC148" s="530"/>
      <c r="BD148" s="530"/>
      <c r="BE148" s="530"/>
      <c r="BF148" s="530"/>
      <c r="BG148" s="530"/>
      <c r="BH148" s="530"/>
      <c r="BI148" s="530"/>
      <c r="BJ148" s="530"/>
      <c r="BK148" s="530"/>
      <c r="BL148" s="530"/>
      <c r="BM148" s="530"/>
      <c r="BN148" s="530"/>
      <c r="BO148" s="530"/>
      <c r="BP148" s="530"/>
      <c r="BQ148" s="530"/>
      <c r="BR148" s="530"/>
      <c r="BS148" s="530"/>
      <c r="BT148" s="530"/>
      <c r="BU148" s="530"/>
      <c r="BV148" s="530"/>
      <c r="BW148" s="530"/>
      <c r="BX148" s="530"/>
      <c r="BY148" s="530"/>
      <c r="BZ148" s="530"/>
      <c r="CA148" s="530"/>
    </row>
    <row r="149" spans="2:79">
      <c r="B149" t="s">
        <v>423</v>
      </c>
      <c r="C149" s="550" t="s">
        <v>424</v>
      </c>
      <c r="D149" s="550" t="s">
        <v>425</v>
      </c>
      <c r="E149" s="546">
        <f ca="1">DSUM($B$99:$Y$128,E$99,$C$137:$D149)</f>
        <v>4.7411583875743547E-2</v>
      </c>
      <c r="F149" s="546">
        <f ca="1">DSUM($B$99:$Y$128,F$99,$C$137:$D149)</f>
        <v>5.8849301092899979E-2</v>
      </c>
      <c r="G149" s="546">
        <f ca="1">DSUM($B$99:$Y$128,G$99,$C$137:$D149)</f>
        <v>7.2739674831915291E-2</v>
      </c>
      <c r="H149" s="546">
        <f ca="1">DSUM($B$99:$Y$128,H$99,$C$137:$D149)</f>
        <v>8.5389162333465538E-2</v>
      </c>
      <c r="I149" s="546">
        <f ca="1">DSUM($B$99:$Y$128,I$99,$C$137:$D149)</f>
        <v>9.8509637300292746E-2</v>
      </c>
      <c r="J149" s="546">
        <f ca="1">DSUM($B$99:$Y$128,J$99,$C$137:$D149)</f>
        <v>0.11649799916880522</v>
      </c>
      <c r="K149" s="546">
        <f ca="1">DSUM($B$99:$Y$128,K$99,$C$137:$D149)</f>
        <v>0.1293359749268389</v>
      </c>
      <c r="L149" s="546">
        <f ca="1">DSUM($B$99:$Y$128,L$99,$C$137:$D149)</f>
        <v>0.13374584384196297</v>
      </c>
      <c r="M149" s="546">
        <f ca="1">DSUM($B$99:$Y$128,M$99,$C$137:$D149)</f>
        <v>0.12772168953465229</v>
      </c>
      <c r="N149" s="546">
        <f ca="1">DSUM($B$99:$Y$128,N$99,$C$137:$D149)</f>
        <v>0.11134947704273492</v>
      </c>
      <c r="O149" s="546">
        <f ca="1">DSUM($B$99:$Y$128,O$99,$C$137:$D149)</f>
        <v>8.7565622651880351E-2</v>
      </c>
      <c r="P149" s="546">
        <f ca="1">DSUM($B$99:$Y$128,P$99,$C$137:$D149)</f>
        <v>6.0983521166841519E-2</v>
      </c>
      <c r="Q149" s="546">
        <f ca="1">DSUM($B$99:$Y$128,Q$99,$C$137:$D149)</f>
        <v>3.7041699258462478E-2</v>
      </c>
      <c r="R149" s="546">
        <f ca="1">DSUM($B$99:$Y$128,R$99,$C$137:$D149)</f>
        <v>1.921602692044078E-2</v>
      </c>
      <c r="S149" s="546">
        <f ca="1">DSUM($B$99:$Y$128,S$99,$C$137:$D149)</f>
        <v>8.3551169406581704E-3</v>
      </c>
      <c r="T149" s="546">
        <f ca="1">DSUM($B$99:$Y$128,T$99,$C$137:$D149)</f>
        <v>2.9766542723959075E-3</v>
      </c>
      <c r="U149" s="546">
        <f ca="1">DSUM($B$99:$Y$128,U$99,$C$137:$D149)</f>
        <v>8.4597672810473494E-4</v>
      </c>
      <c r="V149" s="546">
        <f ca="1">DSUM($B$99:$Y$128,V$99,$C$137:$D149)</f>
        <v>1.8659730407723403E-4</v>
      </c>
      <c r="W149" s="546">
        <f ca="1">DSUM($B$99:$Y$128,W$99,$C$137:$D149)</f>
        <v>3.1084647648202513E-5</v>
      </c>
      <c r="X149" s="546">
        <f ca="1">DSUM($B$99:$Y$128,X$99,$C$137:$D149)</f>
        <v>3.7677779847777202E-6</v>
      </c>
      <c r="Y149" s="546">
        <f ca="1">DSUM($B$99:$Y$128,Y$99,$C$137:$D149)</f>
        <v>1.4025179280594366</v>
      </c>
      <c r="AC149" s="530"/>
      <c r="AD149" s="530"/>
      <c r="AE149" s="530"/>
      <c r="AF149" s="530"/>
      <c r="AG149" s="530"/>
      <c r="AH149" s="530"/>
      <c r="AI149" s="530"/>
      <c r="AJ149" s="530"/>
      <c r="AK149" s="530"/>
      <c r="AL149" s="530"/>
      <c r="AM149" s="530"/>
      <c r="AN149" s="530"/>
      <c r="AO149" s="530"/>
      <c r="AP149" s="530"/>
      <c r="AQ149" s="530"/>
      <c r="AR149" s="530"/>
      <c r="AS149" s="530"/>
      <c r="AT149" s="530"/>
      <c r="AU149" s="530"/>
      <c r="AV149" s="530"/>
      <c r="AW149" s="530"/>
      <c r="AX149" s="530"/>
      <c r="AY149" s="530"/>
      <c r="AZ149" s="530"/>
      <c r="BA149" s="530"/>
      <c r="BB149" s="530"/>
      <c r="BC149" s="530"/>
      <c r="BD149" s="530"/>
      <c r="BE149" s="530"/>
      <c r="BF149" s="530"/>
      <c r="BG149" s="530"/>
      <c r="BH149" s="530"/>
      <c r="BI149" s="530"/>
      <c r="BJ149" s="530"/>
      <c r="BK149" s="530"/>
      <c r="BL149" s="530"/>
      <c r="BM149" s="530"/>
      <c r="BN149" s="530"/>
      <c r="BO149" s="530"/>
      <c r="BP149" s="530"/>
      <c r="BQ149" s="530"/>
      <c r="BR149" s="530"/>
      <c r="BS149" s="530"/>
      <c r="BT149" s="530"/>
      <c r="BU149" s="530"/>
      <c r="BV149" s="530"/>
      <c r="BW149" s="530"/>
      <c r="BX149" s="530"/>
      <c r="BY149" s="530"/>
      <c r="BZ149" s="530"/>
      <c r="CA149" s="530"/>
    </row>
    <row r="150" spans="2:79">
      <c r="B150" t="s">
        <v>426</v>
      </c>
      <c r="C150" s="550" t="s">
        <v>427</v>
      </c>
      <c r="D150" s="550" t="s">
        <v>428</v>
      </c>
      <c r="E150" s="546">
        <f ca="1">DSUM($B$99:$Y$128,E$99,$C$137:$D150)</f>
        <v>4.7411583875743547E-2</v>
      </c>
      <c r="F150" s="546">
        <f ca="1">DSUM($B$99:$Y$128,F$99,$C$137:$D150)</f>
        <v>5.8849301092899979E-2</v>
      </c>
      <c r="G150" s="546">
        <f ca="1">DSUM($B$99:$Y$128,G$99,$C$137:$D150)</f>
        <v>7.2739674831915291E-2</v>
      </c>
      <c r="H150" s="546">
        <f ca="1">DSUM($B$99:$Y$128,H$99,$C$137:$D150)</f>
        <v>8.5389162333465538E-2</v>
      </c>
      <c r="I150" s="546">
        <f ca="1">DSUM($B$99:$Y$128,I$99,$C$137:$D150)</f>
        <v>9.8509637300292746E-2</v>
      </c>
      <c r="J150" s="546">
        <f ca="1">DSUM($B$99:$Y$128,J$99,$C$137:$D150)</f>
        <v>0.11649799916880522</v>
      </c>
      <c r="K150" s="546">
        <f ca="1">DSUM($B$99:$Y$128,K$99,$C$137:$D150)</f>
        <v>0.1293359749268389</v>
      </c>
      <c r="L150" s="546">
        <f ca="1">DSUM($B$99:$Y$128,L$99,$C$137:$D150)</f>
        <v>0.13374584384196297</v>
      </c>
      <c r="M150" s="546">
        <f ca="1">DSUM($B$99:$Y$128,M$99,$C$137:$D150)</f>
        <v>0.12772168953465229</v>
      </c>
      <c r="N150" s="546">
        <f ca="1">DSUM($B$99:$Y$128,N$99,$C$137:$D150)</f>
        <v>0.11134947704273492</v>
      </c>
      <c r="O150" s="546">
        <f ca="1">DSUM($B$99:$Y$128,O$99,$C$137:$D150)</f>
        <v>8.7565622651880351E-2</v>
      </c>
      <c r="P150" s="546">
        <f ca="1">DSUM($B$99:$Y$128,P$99,$C$137:$D150)</f>
        <v>6.0983521166841519E-2</v>
      </c>
      <c r="Q150" s="546">
        <f ca="1">DSUM($B$99:$Y$128,Q$99,$C$137:$D150)</f>
        <v>3.7041699258462478E-2</v>
      </c>
      <c r="R150" s="546">
        <f ca="1">DSUM($B$99:$Y$128,R$99,$C$137:$D150)</f>
        <v>1.921602692044078E-2</v>
      </c>
      <c r="S150" s="546">
        <f ca="1">DSUM($B$99:$Y$128,S$99,$C$137:$D150)</f>
        <v>8.3551169406581704E-3</v>
      </c>
      <c r="T150" s="546">
        <f ca="1">DSUM($B$99:$Y$128,T$99,$C$137:$D150)</f>
        <v>2.9766542723959075E-3</v>
      </c>
      <c r="U150" s="546">
        <f ca="1">DSUM($B$99:$Y$128,U$99,$C$137:$D150)</f>
        <v>8.4597672810473494E-4</v>
      </c>
      <c r="V150" s="546">
        <f ca="1">DSUM($B$99:$Y$128,V$99,$C$137:$D150)</f>
        <v>1.8659730407723403E-4</v>
      </c>
      <c r="W150" s="546">
        <f ca="1">DSUM($B$99:$Y$128,W$99,$C$137:$D150)</f>
        <v>3.1084647648202513E-5</v>
      </c>
      <c r="X150" s="546">
        <f ca="1">DSUM($B$99:$Y$128,X$99,$C$137:$D150)</f>
        <v>3.7677779847777202E-6</v>
      </c>
      <c r="Y150" s="546">
        <f ca="1">DSUM($B$99:$Y$128,Y$99,$C$137:$D150)</f>
        <v>1.4025179280594366</v>
      </c>
      <c r="AC150" s="530"/>
      <c r="AD150" s="530"/>
      <c r="AE150" s="530"/>
      <c r="AF150" s="530"/>
      <c r="AG150" s="530"/>
      <c r="AH150" s="530"/>
      <c r="AI150" s="530"/>
      <c r="AJ150" s="530"/>
      <c r="AK150" s="530"/>
      <c r="AL150" s="530"/>
      <c r="AM150" s="530"/>
      <c r="AN150" s="530"/>
      <c r="AO150" s="530"/>
      <c r="AP150" s="530"/>
      <c r="AQ150" s="530"/>
      <c r="AR150" s="530"/>
      <c r="AS150" s="530"/>
      <c r="AT150" s="530"/>
      <c r="AU150" s="530"/>
      <c r="AV150" s="530"/>
      <c r="AW150" s="530"/>
      <c r="AX150" s="530"/>
      <c r="AY150" s="530"/>
      <c r="AZ150" s="530"/>
      <c r="BA150" s="530"/>
      <c r="BB150" s="530"/>
      <c r="BC150" s="530"/>
      <c r="BD150" s="530"/>
      <c r="BE150" s="530"/>
      <c r="BF150" s="530"/>
      <c r="BG150" s="530"/>
      <c r="BH150" s="530"/>
      <c r="BI150" s="530"/>
      <c r="BJ150" s="530"/>
      <c r="BK150" s="530"/>
      <c r="BL150" s="530"/>
      <c r="BM150" s="530"/>
      <c r="BN150" s="530"/>
      <c r="BO150" s="530"/>
      <c r="BP150" s="530"/>
      <c r="BQ150" s="530"/>
      <c r="BR150" s="530"/>
      <c r="BS150" s="530"/>
      <c r="BT150" s="530"/>
      <c r="BU150" s="530"/>
      <c r="BV150" s="530"/>
      <c r="BW150" s="530"/>
      <c r="BX150" s="530"/>
      <c r="BY150" s="530"/>
      <c r="BZ150" s="530"/>
      <c r="CA150" s="530"/>
    </row>
    <row r="151" spans="2:79">
      <c r="B151" t="s">
        <v>429</v>
      </c>
      <c r="C151" s="550" t="s">
        <v>430</v>
      </c>
      <c r="D151" s="550" t="s">
        <v>431</v>
      </c>
      <c r="E151" s="546">
        <f ca="1">DSUM($B$99:$Y$128,E$99,$C$137:$D151)</f>
        <v>4.7411583875743547E-2</v>
      </c>
      <c r="F151" s="546">
        <f ca="1">DSUM($B$99:$Y$128,F$99,$C$137:$D151)</f>
        <v>5.8849301092899979E-2</v>
      </c>
      <c r="G151" s="546">
        <f ca="1">DSUM($B$99:$Y$128,G$99,$C$137:$D151)</f>
        <v>7.2739674831915291E-2</v>
      </c>
      <c r="H151" s="546">
        <f ca="1">DSUM($B$99:$Y$128,H$99,$C$137:$D151)</f>
        <v>8.5389162333465538E-2</v>
      </c>
      <c r="I151" s="546">
        <f ca="1">DSUM($B$99:$Y$128,I$99,$C$137:$D151)</f>
        <v>9.8509637300292746E-2</v>
      </c>
      <c r="J151" s="546">
        <f ca="1">DSUM($B$99:$Y$128,J$99,$C$137:$D151)</f>
        <v>0.11649799916880522</v>
      </c>
      <c r="K151" s="546">
        <f ca="1">DSUM($B$99:$Y$128,K$99,$C$137:$D151)</f>
        <v>0.1293359749268389</v>
      </c>
      <c r="L151" s="546">
        <f ca="1">DSUM($B$99:$Y$128,L$99,$C$137:$D151)</f>
        <v>0.13374584384196297</v>
      </c>
      <c r="M151" s="546">
        <f ca="1">DSUM($B$99:$Y$128,M$99,$C$137:$D151)</f>
        <v>0.12772168953465229</v>
      </c>
      <c r="N151" s="546">
        <f ca="1">DSUM($B$99:$Y$128,N$99,$C$137:$D151)</f>
        <v>0.11134947704273492</v>
      </c>
      <c r="O151" s="546">
        <f ca="1">DSUM($B$99:$Y$128,O$99,$C$137:$D151)</f>
        <v>8.7565622651880351E-2</v>
      </c>
      <c r="P151" s="546">
        <f ca="1">DSUM($B$99:$Y$128,P$99,$C$137:$D151)</f>
        <v>6.0983521166841519E-2</v>
      </c>
      <c r="Q151" s="546">
        <f ca="1">DSUM($B$99:$Y$128,Q$99,$C$137:$D151)</f>
        <v>3.7041699258462478E-2</v>
      </c>
      <c r="R151" s="546">
        <f ca="1">DSUM($B$99:$Y$128,R$99,$C$137:$D151)</f>
        <v>1.921602692044078E-2</v>
      </c>
      <c r="S151" s="546">
        <f ca="1">DSUM($B$99:$Y$128,S$99,$C$137:$D151)</f>
        <v>8.3551169406581704E-3</v>
      </c>
      <c r="T151" s="546">
        <f ca="1">DSUM($B$99:$Y$128,T$99,$C$137:$D151)</f>
        <v>2.9766542723959075E-3</v>
      </c>
      <c r="U151" s="546">
        <f ca="1">DSUM($B$99:$Y$128,U$99,$C$137:$D151)</f>
        <v>8.4597672810473494E-4</v>
      </c>
      <c r="V151" s="546">
        <f ca="1">DSUM($B$99:$Y$128,V$99,$C$137:$D151)</f>
        <v>1.8659730407723403E-4</v>
      </c>
      <c r="W151" s="546">
        <f ca="1">DSUM($B$99:$Y$128,W$99,$C$137:$D151)</f>
        <v>3.1084647648202513E-5</v>
      </c>
      <c r="X151" s="546">
        <f ca="1">DSUM($B$99:$Y$128,X$99,$C$137:$D151)</f>
        <v>3.7677779847777202E-6</v>
      </c>
      <c r="Y151" s="546">
        <f ca="1">DSUM($B$99:$Y$128,Y$99,$C$137:$D151)</f>
        <v>1.4025179280594366</v>
      </c>
      <c r="AC151" s="530"/>
      <c r="AD151" s="530"/>
      <c r="AE151" s="530"/>
      <c r="AF151" s="530"/>
      <c r="AG151" s="530"/>
      <c r="AH151" s="530"/>
      <c r="AI151" s="530"/>
      <c r="AJ151" s="530"/>
      <c r="AK151" s="530"/>
      <c r="AL151" s="530"/>
      <c r="AM151" s="530"/>
      <c r="AN151" s="530"/>
      <c r="AO151" s="530"/>
      <c r="AP151" s="530"/>
      <c r="AQ151" s="530"/>
      <c r="AR151" s="530"/>
      <c r="AS151" s="530"/>
      <c r="AT151" s="530"/>
      <c r="AU151" s="530"/>
      <c r="AV151" s="530"/>
      <c r="AW151" s="530"/>
      <c r="AX151" s="530"/>
      <c r="AY151" s="530"/>
      <c r="AZ151" s="530"/>
      <c r="BA151" s="530"/>
      <c r="BB151" s="530"/>
      <c r="BC151" s="530"/>
      <c r="BD151" s="530"/>
      <c r="BE151" s="530"/>
      <c r="BF151" s="530"/>
      <c r="BG151" s="530"/>
      <c r="BH151" s="530"/>
      <c r="BI151" s="530"/>
      <c r="BJ151" s="530"/>
      <c r="BK151" s="530"/>
      <c r="BL151" s="530"/>
      <c r="BM151" s="530"/>
      <c r="BN151" s="530"/>
      <c r="BO151" s="530"/>
      <c r="BP151" s="530"/>
      <c r="BQ151" s="530"/>
      <c r="BR151" s="530"/>
      <c r="BS151" s="530"/>
      <c r="BT151" s="530"/>
      <c r="BU151" s="530"/>
      <c r="BV151" s="530"/>
      <c r="BW151" s="530"/>
      <c r="BX151" s="530"/>
      <c r="BY151" s="530"/>
      <c r="BZ151" s="530"/>
      <c r="CA151" s="530"/>
    </row>
    <row r="152" spans="2:79">
      <c r="B152" t="s">
        <v>432</v>
      </c>
      <c r="C152" s="550" t="s">
        <v>433</v>
      </c>
      <c r="D152" s="550" t="s">
        <v>434</v>
      </c>
      <c r="E152" s="546">
        <f ca="1">DSUM($B$99:$Y$128,E$99,$C$137:$D152)</f>
        <v>4.7411583875743547E-2</v>
      </c>
      <c r="F152" s="546">
        <f ca="1">DSUM($B$99:$Y$128,F$99,$C$137:$D152)</f>
        <v>5.8849301092899979E-2</v>
      </c>
      <c r="G152" s="546">
        <f ca="1">DSUM($B$99:$Y$128,G$99,$C$137:$D152)</f>
        <v>7.2739674831915291E-2</v>
      </c>
      <c r="H152" s="546">
        <f ca="1">DSUM($B$99:$Y$128,H$99,$C$137:$D152)</f>
        <v>8.5389162333465538E-2</v>
      </c>
      <c r="I152" s="546">
        <f ca="1">DSUM($B$99:$Y$128,I$99,$C$137:$D152)</f>
        <v>9.8509637300292746E-2</v>
      </c>
      <c r="J152" s="546">
        <f ca="1">DSUM($B$99:$Y$128,J$99,$C$137:$D152)</f>
        <v>0.11649799916880522</v>
      </c>
      <c r="K152" s="546">
        <f ca="1">DSUM($B$99:$Y$128,K$99,$C$137:$D152)</f>
        <v>0.1293359749268389</v>
      </c>
      <c r="L152" s="546">
        <f ca="1">DSUM($B$99:$Y$128,L$99,$C$137:$D152)</f>
        <v>0.13374584384196297</v>
      </c>
      <c r="M152" s="546">
        <f ca="1">DSUM($B$99:$Y$128,M$99,$C$137:$D152)</f>
        <v>0.12772168953465229</v>
      </c>
      <c r="N152" s="546">
        <f ca="1">DSUM($B$99:$Y$128,N$99,$C$137:$D152)</f>
        <v>0.11134947704273492</v>
      </c>
      <c r="O152" s="546">
        <f ca="1">DSUM($B$99:$Y$128,O$99,$C$137:$D152)</f>
        <v>8.7565622651880351E-2</v>
      </c>
      <c r="P152" s="546">
        <f ca="1">DSUM($B$99:$Y$128,P$99,$C$137:$D152)</f>
        <v>6.0983521166841519E-2</v>
      </c>
      <c r="Q152" s="546">
        <f ca="1">DSUM($B$99:$Y$128,Q$99,$C$137:$D152)</f>
        <v>3.7041699258462478E-2</v>
      </c>
      <c r="R152" s="546">
        <f ca="1">DSUM($B$99:$Y$128,R$99,$C$137:$D152)</f>
        <v>1.921602692044078E-2</v>
      </c>
      <c r="S152" s="546">
        <f ca="1">DSUM($B$99:$Y$128,S$99,$C$137:$D152)</f>
        <v>8.3551169406581704E-3</v>
      </c>
      <c r="T152" s="546">
        <f ca="1">DSUM($B$99:$Y$128,T$99,$C$137:$D152)</f>
        <v>2.9766542723959075E-3</v>
      </c>
      <c r="U152" s="546">
        <f ca="1">DSUM($B$99:$Y$128,U$99,$C$137:$D152)</f>
        <v>8.4597672810473494E-4</v>
      </c>
      <c r="V152" s="546">
        <f ca="1">DSUM($B$99:$Y$128,V$99,$C$137:$D152)</f>
        <v>1.8659730407723403E-4</v>
      </c>
      <c r="W152" s="546">
        <f ca="1">DSUM($B$99:$Y$128,W$99,$C$137:$D152)</f>
        <v>3.1084647648202513E-5</v>
      </c>
      <c r="X152" s="546">
        <f ca="1">DSUM($B$99:$Y$128,X$99,$C$137:$D152)</f>
        <v>3.7677779847777202E-6</v>
      </c>
      <c r="Y152" s="546">
        <f ca="1">DSUM($B$99:$Y$128,Y$99,$C$137:$D152)</f>
        <v>1.4025179280594366</v>
      </c>
      <c r="AC152" s="530"/>
      <c r="AD152" s="530"/>
      <c r="AE152" s="530"/>
      <c r="AF152" s="530"/>
      <c r="AG152" s="530"/>
      <c r="AH152" s="530"/>
      <c r="AI152" s="530"/>
      <c r="AJ152" s="530"/>
      <c r="AK152" s="530"/>
      <c r="AL152" s="530"/>
      <c r="AM152" s="530"/>
      <c r="AN152" s="530"/>
      <c r="AO152" s="530"/>
      <c r="AP152" s="530"/>
      <c r="AQ152" s="530"/>
      <c r="AR152" s="530"/>
      <c r="AS152" s="530"/>
      <c r="AT152" s="530"/>
      <c r="AU152" s="530"/>
      <c r="AV152" s="530"/>
      <c r="AW152" s="530"/>
      <c r="AX152" s="530"/>
      <c r="AY152" s="530"/>
      <c r="AZ152" s="530"/>
      <c r="BA152" s="530"/>
      <c r="BB152" s="530"/>
      <c r="BC152" s="530"/>
      <c r="BD152" s="530"/>
      <c r="BE152" s="530"/>
      <c r="BF152" s="530"/>
      <c r="BG152" s="530"/>
      <c r="BH152" s="530"/>
      <c r="BI152" s="530"/>
      <c r="BJ152" s="530"/>
      <c r="BK152" s="530"/>
      <c r="BL152" s="530"/>
      <c r="BM152" s="530"/>
      <c r="BN152" s="530"/>
      <c r="BO152" s="530"/>
      <c r="BP152" s="530"/>
      <c r="BQ152" s="530"/>
      <c r="BR152" s="530"/>
      <c r="BS152" s="530"/>
      <c r="BT152" s="530"/>
      <c r="BU152" s="530"/>
      <c r="BV152" s="530"/>
      <c r="BW152" s="530"/>
      <c r="BX152" s="530"/>
      <c r="BY152" s="530"/>
      <c r="BZ152" s="530"/>
      <c r="CA152" s="530"/>
    </row>
    <row r="153" spans="2:79">
      <c r="B153" t="s">
        <v>435</v>
      </c>
      <c r="C153" s="550" t="s">
        <v>436</v>
      </c>
      <c r="D153" s="550" t="s">
        <v>437</v>
      </c>
      <c r="E153" s="546">
        <f ca="1">DSUM($B$99:$Y$128,E$99,$C$137:$D153)</f>
        <v>4.7411583875743547E-2</v>
      </c>
      <c r="F153" s="546">
        <f ca="1">DSUM($B$99:$Y$128,F$99,$C$137:$D153)</f>
        <v>5.8849301092899979E-2</v>
      </c>
      <c r="G153" s="546">
        <f ca="1">DSUM($B$99:$Y$128,G$99,$C$137:$D153)</f>
        <v>7.2739674831915291E-2</v>
      </c>
      <c r="H153" s="546">
        <f ca="1">DSUM($B$99:$Y$128,H$99,$C$137:$D153)</f>
        <v>8.5389162333465538E-2</v>
      </c>
      <c r="I153" s="546">
        <f ca="1">DSUM($B$99:$Y$128,I$99,$C$137:$D153)</f>
        <v>9.8509637300292746E-2</v>
      </c>
      <c r="J153" s="546">
        <f ca="1">DSUM($B$99:$Y$128,J$99,$C$137:$D153)</f>
        <v>0.11649799916880522</v>
      </c>
      <c r="K153" s="546">
        <f ca="1">DSUM($B$99:$Y$128,K$99,$C$137:$D153)</f>
        <v>0.1293359749268389</v>
      </c>
      <c r="L153" s="546">
        <f ca="1">DSUM($B$99:$Y$128,L$99,$C$137:$D153)</f>
        <v>0.13374584384196297</v>
      </c>
      <c r="M153" s="546">
        <f ca="1">DSUM($B$99:$Y$128,M$99,$C$137:$D153)</f>
        <v>0.12772168953465229</v>
      </c>
      <c r="N153" s="546">
        <f ca="1">DSUM($B$99:$Y$128,N$99,$C$137:$D153)</f>
        <v>0.11134947704273492</v>
      </c>
      <c r="O153" s="546">
        <f ca="1">DSUM($B$99:$Y$128,O$99,$C$137:$D153)</f>
        <v>8.7565622651880351E-2</v>
      </c>
      <c r="P153" s="546">
        <f ca="1">DSUM($B$99:$Y$128,P$99,$C$137:$D153)</f>
        <v>6.0983521166841519E-2</v>
      </c>
      <c r="Q153" s="546">
        <f ca="1">DSUM($B$99:$Y$128,Q$99,$C$137:$D153)</f>
        <v>3.7041699258462478E-2</v>
      </c>
      <c r="R153" s="546">
        <f ca="1">DSUM($B$99:$Y$128,R$99,$C$137:$D153)</f>
        <v>1.921602692044078E-2</v>
      </c>
      <c r="S153" s="546">
        <f ca="1">DSUM($B$99:$Y$128,S$99,$C$137:$D153)</f>
        <v>8.3551169406581704E-3</v>
      </c>
      <c r="T153" s="546">
        <f ca="1">DSUM($B$99:$Y$128,T$99,$C$137:$D153)</f>
        <v>2.9766542723959075E-3</v>
      </c>
      <c r="U153" s="546">
        <f ca="1">DSUM($B$99:$Y$128,U$99,$C$137:$D153)</f>
        <v>8.4597672810473494E-4</v>
      </c>
      <c r="V153" s="546">
        <f ca="1">DSUM($B$99:$Y$128,V$99,$C$137:$D153)</f>
        <v>1.8659730407723403E-4</v>
      </c>
      <c r="W153" s="546">
        <f ca="1">DSUM($B$99:$Y$128,W$99,$C$137:$D153)</f>
        <v>3.1084647648202513E-5</v>
      </c>
      <c r="X153" s="546">
        <f ca="1">DSUM($B$99:$Y$128,X$99,$C$137:$D153)</f>
        <v>3.7677779847777202E-6</v>
      </c>
      <c r="Y153" s="546">
        <f ca="1">DSUM($B$99:$Y$128,Y$99,$C$137:$D153)</f>
        <v>1.4025179280594366</v>
      </c>
      <c r="AC153" s="530"/>
      <c r="AD153" s="530"/>
      <c r="AE153" s="530"/>
      <c r="AF153" s="530"/>
      <c r="AG153" s="530"/>
      <c r="AH153" s="530"/>
      <c r="AI153" s="530"/>
      <c r="AJ153" s="530"/>
      <c r="AK153" s="530"/>
      <c r="AL153" s="530"/>
      <c r="AM153" s="530"/>
      <c r="AN153" s="530"/>
      <c r="AO153" s="530"/>
      <c r="AP153" s="530"/>
      <c r="AQ153" s="530"/>
      <c r="AR153" s="530"/>
      <c r="AS153" s="530"/>
      <c r="AT153" s="530"/>
      <c r="AU153" s="530"/>
      <c r="AV153" s="530"/>
      <c r="AW153" s="530"/>
      <c r="AX153" s="530"/>
      <c r="AY153" s="530"/>
      <c r="AZ153" s="530"/>
      <c r="BA153" s="530"/>
      <c r="BB153" s="530"/>
      <c r="BC153" s="530"/>
      <c r="BD153" s="530"/>
      <c r="BE153" s="530"/>
      <c r="BF153" s="530"/>
      <c r="BG153" s="530"/>
      <c r="BH153" s="530"/>
      <c r="BI153" s="530"/>
      <c r="BJ153" s="530"/>
      <c r="BK153" s="530"/>
      <c r="BL153" s="530"/>
      <c r="BM153" s="530"/>
      <c r="BN153" s="530"/>
      <c r="BO153" s="530"/>
      <c r="BP153" s="530"/>
      <c r="BQ153" s="530"/>
      <c r="BR153" s="530"/>
      <c r="BS153" s="530"/>
      <c r="BT153" s="530"/>
      <c r="BU153" s="530"/>
      <c r="BV153" s="530"/>
      <c r="BW153" s="530"/>
      <c r="BX153" s="530"/>
      <c r="BY153" s="530"/>
      <c r="BZ153" s="530"/>
      <c r="CA153" s="530"/>
    </row>
    <row r="154" spans="2:79">
      <c r="B154" t="s">
        <v>438</v>
      </c>
      <c r="C154" s="550" t="s">
        <v>439</v>
      </c>
      <c r="D154" s="550" t="s">
        <v>440</v>
      </c>
      <c r="E154" s="546">
        <f ca="1">DSUM($B$99:$Y$128,E$99,$C$137:$D154)</f>
        <v>4.7411583875743547E-2</v>
      </c>
      <c r="F154" s="546">
        <f ca="1">DSUM($B$99:$Y$128,F$99,$C$137:$D154)</f>
        <v>5.8849301092899979E-2</v>
      </c>
      <c r="G154" s="546">
        <f ca="1">DSUM($B$99:$Y$128,G$99,$C$137:$D154)</f>
        <v>7.2739674831915291E-2</v>
      </c>
      <c r="H154" s="546">
        <f ca="1">DSUM($B$99:$Y$128,H$99,$C$137:$D154)</f>
        <v>8.5389162333465538E-2</v>
      </c>
      <c r="I154" s="546">
        <f ca="1">DSUM($B$99:$Y$128,I$99,$C$137:$D154)</f>
        <v>9.8509637300292746E-2</v>
      </c>
      <c r="J154" s="546">
        <f ca="1">DSUM($B$99:$Y$128,J$99,$C$137:$D154)</f>
        <v>0.11649799916880522</v>
      </c>
      <c r="K154" s="546">
        <f ca="1">DSUM($B$99:$Y$128,K$99,$C$137:$D154)</f>
        <v>0.1293359749268389</v>
      </c>
      <c r="L154" s="546">
        <f ca="1">DSUM($B$99:$Y$128,L$99,$C$137:$D154)</f>
        <v>0.13374584384196297</v>
      </c>
      <c r="M154" s="546">
        <f ca="1">DSUM($B$99:$Y$128,M$99,$C$137:$D154)</f>
        <v>0.12772168953465229</v>
      </c>
      <c r="N154" s="546">
        <f ca="1">DSUM($B$99:$Y$128,N$99,$C$137:$D154)</f>
        <v>0.11134947704273492</v>
      </c>
      <c r="O154" s="546">
        <f ca="1">DSUM($B$99:$Y$128,O$99,$C$137:$D154)</f>
        <v>8.7565622651880351E-2</v>
      </c>
      <c r="P154" s="546">
        <f ca="1">DSUM($B$99:$Y$128,P$99,$C$137:$D154)</f>
        <v>6.0983521166841519E-2</v>
      </c>
      <c r="Q154" s="546">
        <f ca="1">DSUM($B$99:$Y$128,Q$99,$C$137:$D154)</f>
        <v>3.7041699258462478E-2</v>
      </c>
      <c r="R154" s="546">
        <f ca="1">DSUM($B$99:$Y$128,R$99,$C$137:$D154)</f>
        <v>1.921602692044078E-2</v>
      </c>
      <c r="S154" s="546">
        <f ca="1">DSUM($B$99:$Y$128,S$99,$C$137:$D154)</f>
        <v>8.3551169406581704E-3</v>
      </c>
      <c r="T154" s="546">
        <f ca="1">DSUM($B$99:$Y$128,T$99,$C$137:$D154)</f>
        <v>2.9766542723959075E-3</v>
      </c>
      <c r="U154" s="546">
        <f ca="1">DSUM($B$99:$Y$128,U$99,$C$137:$D154)</f>
        <v>8.4597672810473494E-4</v>
      </c>
      <c r="V154" s="546">
        <f ca="1">DSUM($B$99:$Y$128,V$99,$C$137:$D154)</f>
        <v>1.8659730407723403E-4</v>
      </c>
      <c r="W154" s="546">
        <f ca="1">DSUM($B$99:$Y$128,W$99,$C$137:$D154)</f>
        <v>3.1084647648202513E-5</v>
      </c>
      <c r="X154" s="546">
        <f ca="1">DSUM($B$99:$Y$128,X$99,$C$137:$D154)</f>
        <v>3.7677779847777202E-6</v>
      </c>
      <c r="Y154" s="546">
        <f ca="1">DSUM($B$99:$Y$128,Y$99,$C$137:$D154)</f>
        <v>1.4025179280594366</v>
      </c>
      <c r="AC154" s="530"/>
      <c r="AD154" s="530"/>
      <c r="AE154" s="530"/>
      <c r="AF154" s="530"/>
      <c r="AG154" s="530"/>
      <c r="AH154" s="530"/>
      <c r="AI154" s="530"/>
      <c r="AJ154" s="530"/>
      <c r="AK154" s="530"/>
      <c r="AL154" s="530"/>
      <c r="AM154" s="530"/>
      <c r="AN154" s="530"/>
      <c r="AO154" s="530"/>
      <c r="AP154" s="530"/>
      <c r="AQ154" s="530"/>
      <c r="AR154" s="530"/>
      <c r="AS154" s="530"/>
      <c r="AT154" s="530"/>
      <c r="AU154" s="530"/>
      <c r="AV154" s="530"/>
      <c r="AW154" s="530"/>
      <c r="AX154" s="530"/>
      <c r="AY154" s="530"/>
      <c r="AZ154" s="530"/>
      <c r="BA154" s="530"/>
      <c r="BB154" s="530"/>
      <c r="BC154" s="530"/>
      <c r="BD154" s="530"/>
      <c r="BE154" s="530"/>
      <c r="BF154" s="530"/>
      <c r="BG154" s="530"/>
      <c r="BH154" s="530"/>
      <c r="BI154" s="530"/>
      <c r="BJ154" s="530"/>
      <c r="BK154" s="530"/>
      <c r="BL154" s="530"/>
      <c r="BM154" s="530"/>
      <c r="BN154" s="530"/>
      <c r="BO154" s="530"/>
      <c r="BP154" s="530"/>
      <c r="BQ154" s="530"/>
      <c r="BR154" s="530"/>
      <c r="BS154" s="530"/>
      <c r="BT154" s="530"/>
      <c r="BU154" s="530"/>
      <c r="BV154" s="530"/>
      <c r="BW154" s="530"/>
      <c r="BX154" s="530"/>
      <c r="BY154" s="530"/>
      <c r="BZ154" s="530"/>
      <c r="CA154" s="530"/>
    </row>
    <row r="155" spans="2:79">
      <c r="B155" t="s">
        <v>441</v>
      </c>
      <c r="C155" s="550" t="s">
        <v>442</v>
      </c>
      <c r="D155" s="550" t="s">
        <v>443</v>
      </c>
      <c r="E155" s="546">
        <f ca="1">DSUM($B$99:$Y$128,E$99,$C$137:$D155)</f>
        <v>4.7411583875743547E-2</v>
      </c>
      <c r="F155" s="546">
        <f ca="1">DSUM($B$99:$Y$128,F$99,$C$137:$D155)</f>
        <v>5.8849301092899979E-2</v>
      </c>
      <c r="G155" s="546">
        <f ca="1">DSUM($B$99:$Y$128,G$99,$C$137:$D155)</f>
        <v>7.2739674831915291E-2</v>
      </c>
      <c r="H155" s="546">
        <f ca="1">DSUM($B$99:$Y$128,H$99,$C$137:$D155)</f>
        <v>8.5389162333465538E-2</v>
      </c>
      <c r="I155" s="546">
        <f ca="1">DSUM($B$99:$Y$128,I$99,$C$137:$D155)</f>
        <v>9.8509637300292746E-2</v>
      </c>
      <c r="J155" s="546">
        <f ca="1">DSUM($B$99:$Y$128,J$99,$C$137:$D155)</f>
        <v>0.11649799916880522</v>
      </c>
      <c r="K155" s="546">
        <f ca="1">DSUM($B$99:$Y$128,K$99,$C$137:$D155)</f>
        <v>0.1293359749268389</v>
      </c>
      <c r="L155" s="546">
        <f ca="1">DSUM($B$99:$Y$128,L$99,$C$137:$D155)</f>
        <v>0.13374584384196297</v>
      </c>
      <c r="M155" s="546">
        <f ca="1">DSUM($B$99:$Y$128,M$99,$C$137:$D155)</f>
        <v>0.12772168953465229</v>
      </c>
      <c r="N155" s="546">
        <f ca="1">DSUM($B$99:$Y$128,N$99,$C$137:$D155)</f>
        <v>0.11134947704273492</v>
      </c>
      <c r="O155" s="546">
        <f ca="1">DSUM($B$99:$Y$128,O$99,$C$137:$D155)</f>
        <v>8.7565622651880351E-2</v>
      </c>
      <c r="P155" s="546">
        <f ca="1">DSUM($B$99:$Y$128,P$99,$C$137:$D155)</f>
        <v>6.0983521166841519E-2</v>
      </c>
      <c r="Q155" s="546">
        <f ca="1">DSUM($B$99:$Y$128,Q$99,$C$137:$D155)</f>
        <v>3.7041699258462478E-2</v>
      </c>
      <c r="R155" s="546">
        <f ca="1">DSUM($B$99:$Y$128,R$99,$C$137:$D155)</f>
        <v>1.921602692044078E-2</v>
      </c>
      <c r="S155" s="546">
        <f ca="1">DSUM($B$99:$Y$128,S$99,$C$137:$D155)</f>
        <v>8.3551169406581704E-3</v>
      </c>
      <c r="T155" s="546">
        <f ca="1">DSUM($B$99:$Y$128,T$99,$C$137:$D155)</f>
        <v>2.9766542723959075E-3</v>
      </c>
      <c r="U155" s="546">
        <f ca="1">DSUM($B$99:$Y$128,U$99,$C$137:$D155)</f>
        <v>8.4597672810473494E-4</v>
      </c>
      <c r="V155" s="546">
        <f ca="1">DSUM($B$99:$Y$128,V$99,$C$137:$D155)</f>
        <v>1.8659730407723403E-4</v>
      </c>
      <c r="W155" s="546">
        <f ca="1">DSUM($B$99:$Y$128,W$99,$C$137:$D155)</f>
        <v>3.1084647648202513E-5</v>
      </c>
      <c r="X155" s="546">
        <f ca="1">DSUM($B$99:$Y$128,X$99,$C$137:$D155)</f>
        <v>3.7677779847777202E-6</v>
      </c>
      <c r="Y155" s="546">
        <f ca="1">DSUM($B$99:$Y$128,Y$99,$C$137:$D155)</f>
        <v>1.4025179280594366</v>
      </c>
      <c r="AC155" s="530"/>
      <c r="AD155" s="530"/>
      <c r="AE155" s="530"/>
      <c r="AF155" s="530"/>
      <c r="AG155" s="530"/>
      <c r="AH155" s="530"/>
      <c r="AI155" s="530"/>
      <c r="AJ155" s="530"/>
      <c r="AK155" s="530"/>
      <c r="AL155" s="530"/>
      <c r="AM155" s="530"/>
      <c r="AN155" s="530"/>
      <c r="AO155" s="530"/>
      <c r="AP155" s="530"/>
      <c r="AQ155" s="530"/>
      <c r="AR155" s="530"/>
      <c r="AS155" s="530"/>
      <c r="AT155" s="530"/>
      <c r="AU155" s="530"/>
      <c r="AV155" s="530"/>
      <c r="AW155" s="530"/>
      <c r="AX155" s="530"/>
      <c r="AY155" s="530"/>
      <c r="AZ155" s="530"/>
      <c r="BA155" s="530"/>
      <c r="BB155" s="530"/>
      <c r="BC155" s="530"/>
      <c r="BD155" s="530"/>
      <c r="BE155" s="530"/>
      <c r="BF155" s="530"/>
      <c r="BG155" s="530"/>
      <c r="BH155" s="530"/>
      <c r="BI155" s="530"/>
      <c r="BJ155" s="530"/>
      <c r="BK155" s="530"/>
      <c r="BL155" s="530"/>
      <c r="BM155" s="530"/>
      <c r="BN155" s="530"/>
      <c r="BO155" s="530"/>
      <c r="BP155" s="530"/>
      <c r="BQ155" s="530"/>
      <c r="BR155" s="530"/>
      <c r="BS155" s="530"/>
      <c r="BT155" s="530"/>
      <c r="BU155" s="530"/>
      <c r="BV155" s="530"/>
      <c r="BW155" s="530"/>
      <c r="BX155" s="530"/>
      <c r="BY155" s="530"/>
      <c r="BZ155" s="530"/>
      <c r="CA155" s="530"/>
    </row>
    <row r="156" spans="2:79">
      <c r="B156" t="s">
        <v>444</v>
      </c>
      <c r="C156" s="550" t="s">
        <v>445</v>
      </c>
      <c r="D156" s="550" t="s">
        <v>446</v>
      </c>
      <c r="E156" s="546">
        <f ca="1">DSUM($B$99:$Y$128,E$99,$C$137:$D156)</f>
        <v>4.7411583875743547E-2</v>
      </c>
      <c r="F156" s="546">
        <f ca="1">DSUM($B$99:$Y$128,F$99,$C$137:$D156)</f>
        <v>5.8849301092899979E-2</v>
      </c>
      <c r="G156" s="546">
        <f ca="1">DSUM($B$99:$Y$128,G$99,$C$137:$D156)</f>
        <v>7.2739674831915291E-2</v>
      </c>
      <c r="H156" s="546">
        <f ca="1">DSUM($B$99:$Y$128,H$99,$C$137:$D156)</f>
        <v>8.5389162333465538E-2</v>
      </c>
      <c r="I156" s="546">
        <f ca="1">DSUM($B$99:$Y$128,I$99,$C$137:$D156)</f>
        <v>9.8509637300292746E-2</v>
      </c>
      <c r="J156" s="546">
        <f ca="1">DSUM($B$99:$Y$128,J$99,$C$137:$D156)</f>
        <v>0.11649799916880522</v>
      </c>
      <c r="K156" s="546">
        <f ca="1">DSUM($B$99:$Y$128,K$99,$C$137:$D156)</f>
        <v>0.1293359749268389</v>
      </c>
      <c r="L156" s="546">
        <f ca="1">DSUM($B$99:$Y$128,L$99,$C$137:$D156)</f>
        <v>0.13374584384196297</v>
      </c>
      <c r="M156" s="546">
        <f ca="1">DSUM($B$99:$Y$128,M$99,$C$137:$D156)</f>
        <v>0.12772168953465229</v>
      </c>
      <c r="N156" s="546">
        <f ca="1">DSUM($B$99:$Y$128,N$99,$C$137:$D156)</f>
        <v>0.11134947704273492</v>
      </c>
      <c r="O156" s="546">
        <f ca="1">DSUM($B$99:$Y$128,O$99,$C$137:$D156)</f>
        <v>8.7565622651880351E-2</v>
      </c>
      <c r="P156" s="546">
        <f ca="1">DSUM($B$99:$Y$128,P$99,$C$137:$D156)</f>
        <v>6.0983521166841519E-2</v>
      </c>
      <c r="Q156" s="546">
        <f ca="1">DSUM($B$99:$Y$128,Q$99,$C$137:$D156)</f>
        <v>3.7041699258462478E-2</v>
      </c>
      <c r="R156" s="546">
        <f ca="1">DSUM($B$99:$Y$128,R$99,$C$137:$D156)</f>
        <v>1.921602692044078E-2</v>
      </c>
      <c r="S156" s="546">
        <f ca="1">DSUM($B$99:$Y$128,S$99,$C$137:$D156)</f>
        <v>8.3551169406581704E-3</v>
      </c>
      <c r="T156" s="546">
        <f ca="1">DSUM($B$99:$Y$128,T$99,$C$137:$D156)</f>
        <v>2.9766542723959075E-3</v>
      </c>
      <c r="U156" s="546">
        <f ca="1">DSUM($B$99:$Y$128,U$99,$C$137:$D156)</f>
        <v>8.4597672810473494E-4</v>
      </c>
      <c r="V156" s="546">
        <f ca="1">DSUM($B$99:$Y$128,V$99,$C$137:$D156)</f>
        <v>1.8659730407723403E-4</v>
      </c>
      <c r="W156" s="546">
        <f ca="1">DSUM($B$99:$Y$128,W$99,$C$137:$D156)</f>
        <v>3.1084647648202513E-5</v>
      </c>
      <c r="X156" s="546">
        <f ca="1">DSUM($B$99:$Y$128,X$99,$C$137:$D156)</f>
        <v>3.7677779847777202E-6</v>
      </c>
      <c r="Y156" s="546">
        <f ca="1">DSUM($B$99:$Y$128,Y$99,$C$137:$D156)</f>
        <v>1.4025179280594366</v>
      </c>
      <c r="AC156" s="530"/>
      <c r="AD156" s="530"/>
      <c r="AE156" s="530"/>
      <c r="AF156" s="530"/>
      <c r="AG156" s="530"/>
      <c r="AH156" s="530"/>
      <c r="AI156" s="530"/>
      <c r="AJ156" s="530"/>
      <c r="AK156" s="530"/>
      <c r="AL156" s="530"/>
      <c r="AM156" s="530"/>
      <c r="AN156" s="530"/>
      <c r="AO156" s="530"/>
      <c r="AP156" s="530"/>
      <c r="AQ156" s="530"/>
      <c r="AR156" s="530"/>
      <c r="AS156" s="530"/>
      <c r="AT156" s="530"/>
      <c r="AU156" s="530"/>
      <c r="AV156" s="530"/>
      <c r="AW156" s="530"/>
      <c r="AX156" s="530"/>
      <c r="AY156" s="530"/>
      <c r="AZ156" s="530"/>
      <c r="BA156" s="530"/>
      <c r="BB156" s="530"/>
      <c r="BC156" s="530"/>
      <c r="BD156" s="530"/>
      <c r="BE156" s="530"/>
      <c r="BF156" s="530"/>
      <c r="BG156" s="530"/>
      <c r="BH156" s="530"/>
      <c r="BI156" s="530"/>
      <c r="BJ156" s="530"/>
      <c r="BK156" s="530"/>
      <c r="BL156" s="530"/>
      <c r="BM156" s="530"/>
      <c r="BN156" s="530"/>
      <c r="BO156" s="530"/>
      <c r="BP156" s="530"/>
      <c r="BQ156" s="530"/>
      <c r="BR156" s="530"/>
      <c r="BS156" s="530"/>
      <c r="BT156" s="530"/>
      <c r="BU156" s="530"/>
      <c r="BV156" s="530"/>
      <c r="BW156" s="530"/>
      <c r="BX156" s="530"/>
      <c r="BY156" s="530"/>
      <c r="BZ156" s="530"/>
      <c r="CA156" s="530"/>
    </row>
    <row r="157" spans="2:79">
      <c r="B157" t="s">
        <v>447</v>
      </c>
      <c r="C157" s="550" t="s">
        <v>448</v>
      </c>
      <c r="D157" s="550" t="s">
        <v>449</v>
      </c>
      <c r="E157" s="546">
        <f ca="1">DSUM($B$99:$Y$128,E$99,$C$137:$D157)</f>
        <v>4.7411583875743547E-2</v>
      </c>
      <c r="F157" s="546">
        <f ca="1">DSUM($B$99:$Y$128,F$99,$C$137:$D157)</f>
        <v>5.8849301092899979E-2</v>
      </c>
      <c r="G157" s="546">
        <f ca="1">DSUM($B$99:$Y$128,G$99,$C$137:$D157)</f>
        <v>7.2739674831915291E-2</v>
      </c>
      <c r="H157" s="546">
        <f ca="1">DSUM($B$99:$Y$128,H$99,$C$137:$D157)</f>
        <v>8.5389162333465538E-2</v>
      </c>
      <c r="I157" s="546">
        <f ca="1">DSUM($B$99:$Y$128,I$99,$C$137:$D157)</f>
        <v>9.8509637300292746E-2</v>
      </c>
      <c r="J157" s="546">
        <f ca="1">DSUM($B$99:$Y$128,J$99,$C$137:$D157)</f>
        <v>0.11649799916880522</v>
      </c>
      <c r="K157" s="546">
        <f ca="1">DSUM($B$99:$Y$128,K$99,$C$137:$D157)</f>
        <v>0.1293359749268389</v>
      </c>
      <c r="L157" s="546">
        <f ca="1">DSUM($B$99:$Y$128,L$99,$C$137:$D157)</f>
        <v>0.13374584384196297</v>
      </c>
      <c r="M157" s="546">
        <f ca="1">DSUM($B$99:$Y$128,M$99,$C$137:$D157)</f>
        <v>0.12772168953465229</v>
      </c>
      <c r="N157" s="546">
        <f ca="1">DSUM($B$99:$Y$128,N$99,$C$137:$D157)</f>
        <v>0.11134947704273492</v>
      </c>
      <c r="O157" s="546">
        <f ca="1">DSUM($B$99:$Y$128,O$99,$C$137:$D157)</f>
        <v>8.7565622651880351E-2</v>
      </c>
      <c r="P157" s="546">
        <f ca="1">DSUM($B$99:$Y$128,P$99,$C$137:$D157)</f>
        <v>6.0983521166841519E-2</v>
      </c>
      <c r="Q157" s="546">
        <f ca="1">DSUM($B$99:$Y$128,Q$99,$C$137:$D157)</f>
        <v>3.7041699258462478E-2</v>
      </c>
      <c r="R157" s="546">
        <f ca="1">DSUM($B$99:$Y$128,R$99,$C$137:$D157)</f>
        <v>1.921602692044078E-2</v>
      </c>
      <c r="S157" s="546">
        <f ca="1">DSUM($B$99:$Y$128,S$99,$C$137:$D157)</f>
        <v>8.3551169406581704E-3</v>
      </c>
      <c r="T157" s="546">
        <f ca="1">DSUM($B$99:$Y$128,T$99,$C$137:$D157)</f>
        <v>2.9766542723959075E-3</v>
      </c>
      <c r="U157" s="546">
        <f ca="1">DSUM($B$99:$Y$128,U$99,$C$137:$D157)</f>
        <v>8.4597672810473494E-4</v>
      </c>
      <c r="V157" s="546">
        <f ca="1">DSUM($B$99:$Y$128,V$99,$C$137:$D157)</f>
        <v>1.8659730407723403E-4</v>
      </c>
      <c r="W157" s="546">
        <f ca="1">DSUM($B$99:$Y$128,W$99,$C$137:$D157)</f>
        <v>3.1084647648202513E-5</v>
      </c>
      <c r="X157" s="546">
        <f ca="1">DSUM($B$99:$Y$128,X$99,$C$137:$D157)</f>
        <v>3.7677779847777202E-6</v>
      </c>
      <c r="Y157" s="546">
        <f ca="1">DSUM($B$99:$Y$128,Y$99,$C$137:$D157)</f>
        <v>1.4025179280594366</v>
      </c>
      <c r="AC157" s="530"/>
      <c r="AD157" s="530"/>
      <c r="AE157" s="530"/>
      <c r="AF157" s="530"/>
      <c r="AG157" s="530"/>
      <c r="AH157" s="530"/>
      <c r="AI157" s="530"/>
      <c r="AJ157" s="530"/>
      <c r="AK157" s="530"/>
      <c r="AL157" s="530"/>
      <c r="AM157" s="530"/>
      <c r="AN157" s="530"/>
      <c r="AO157" s="530"/>
      <c r="AP157" s="530"/>
      <c r="AQ157" s="530"/>
      <c r="AR157" s="530"/>
      <c r="AS157" s="530"/>
      <c r="AT157" s="530"/>
      <c r="AU157" s="530"/>
      <c r="AV157" s="530"/>
      <c r="AW157" s="530"/>
      <c r="AX157" s="530"/>
      <c r="AY157" s="530"/>
      <c r="AZ157" s="530"/>
      <c r="BA157" s="530"/>
      <c r="BB157" s="530"/>
      <c r="BC157" s="530"/>
      <c r="BD157" s="530"/>
      <c r="BE157" s="530"/>
      <c r="BF157" s="530"/>
      <c r="BG157" s="530"/>
      <c r="BH157" s="530"/>
      <c r="BI157" s="530"/>
      <c r="BJ157" s="530"/>
      <c r="BK157" s="530"/>
      <c r="BL157" s="530"/>
      <c r="BM157" s="530"/>
      <c r="BN157" s="530"/>
      <c r="BO157" s="530"/>
      <c r="BP157" s="530"/>
      <c r="BQ157" s="530"/>
      <c r="BR157" s="530"/>
      <c r="BS157" s="530"/>
      <c r="BT157" s="530"/>
      <c r="BU157" s="530"/>
      <c r="BV157" s="530"/>
      <c r="BW157" s="530"/>
      <c r="BX157" s="530"/>
      <c r="BY157" s="530"/>
      <c r="BZ157" s="530"/>
      <c r="CA157" s="530"/>
    </row>
    <row r="158" spans="2:79">
      <c r="B158" t="s">
        <v>450</v>
      </c>
      <c r="C158" s="550" t="s">
        <v>451</v>
      </c>
      <c r="D158" s="550" t="s">
        <v>452</v>
      </c>
      <c r="E158" s="546">
        <f ca="1">DSUM($B$99:$Y$128,E$99,$C$137:$D158)</f>
        <v>4.7411583875743547E-2</v>
      </c>
      <c r="F158" s="546">
        <f ca="1">DSUM($B$99:$Y$128,F$99,$C$137:$D158)</f>
        <v>5.8849301092899979E-2</v>
      </c>
      <c r="G158" s="546">
        <f ca="1">DSUM($B$99:$Y$128,G$99,$C$137:$D158)</f>
        <v>7.2739674831915291E-2</v>
      </c>
      <c r="H158" s="546">
        <f ca="1">DSUM($B$99:$Y$128,H$99,$C$137:$D158)</f>
        <v>8.5389162333465538E-2</v>
      </c>
      <c r="I158" s="546">
        <f ca="1">DSUM($B$99:$Y$128,I$99,$C$137:$D158)</f>
        <v>9.8509637300292746E-2</v>
      </c>
      <c r="J158" s="546">
        <f ca="1">DSUM($B$99:$Y$128,J$99,$C$137:$D158)</f>
        <v>0.11649799916880522</v>
      </c>
      <c r="K158" s="546">
        <f ca="1">DSUM($B$99:$Y$128,K$99,$C$137:$D158)</f>
        <v>0.1293359749268389</v>
      </c>
      <c r="L158" s="546">
        <f ca="1">DSUM($B$99:$Y$128,L$99,$C$137:$D158)</f>
        <v>0.13374584384196297</v>
      </c>
      <c r="M158" s="546">
        <f ca="1">DSUM($B$99:$Y$128,M$99,$C$137:$D158)</f>
        <v>0.12772168953465229</v>
      </c>
      <c r="N158" s="546">
        <f ca="1">DSUM($B$99:$Y$128,N$99,$C$137:$D158)</f>
        <v>0.11134947704273492</v>
      </c>
      <c r="O158" s="546">
        <f ca="1">DSUM($B$99:$Y$128,O$99,$C$137:$D158)</f>
        <v>8.7565622651880351E-2</v>
      </c>
      <c r="P158" s="546">
        <f ca="1">DSUM($B$99:$Y$128,P$99,$C$137:$D158)</f>
        <v>6.0983521166841519E-2</v>
      </c>
      <c r="Q158" s="546">
        <f ca="1">DSUM($B$99:$Y$128,Q$99,$C$137:$D158)</f>
        <v>3.7041699258462478E-2</v>
      </c>
      <c r="R158" s="546">
        <f ca="1">DSUM($B$99:$Y$128,R$99,$C$137:$D158)</f>
        <v>1.921602692044078E-2</v>
      </c>
      <c r="S158" s="546">
        <f ca="1">DSUM($B$99:$Y$128,S$99,$C$137:$D158)</f>
        <v>8.3551169406581704E-3</v>
      </c>
      <c r="T158" s="546">
        <f ca="1">DSUM($B$99:$Y$128,T$99,$C$137:$D158)</f>
        <v>2.9766542723959075E-3</v>
      </c>
      <c r="U158" s="546">
        <f ca="1">DSUM($B$99:$Y$128,U$99,$C$137:$D158)</f>
        <v>8.4597672810473494E-4</v>
      </c>
      <c r="V158" s="546">
        <f ca="1">DSUM($B$99:$Y$128,V$99,$C$137:$D158)</f>
        <v>1.8659730407723403E-4</v>
      </c>
      <c r="W158" s="546">
        <f ca="1">DSUM($B$99:$Y$128,W$99,$C$137:$D158)</f>
        <v>3.1084647648202513E-5</v>
      </c>
      <c r="X158" s="546">
        <f ca="1">DSUM($B$99:$Y$128,X$99,$C$137:$D158)</f>
        <v>3.7677779847777202E-6</v>
      </c>
      <c r="Y158" s="546">
        <f ca="1">DSUM($B$99:$Y$128,Y$99,$C$137:$D158)</f>
        <v>1.4025179280594366</v>
      </c>
      <c r="AC158" s="530"/>
      <c r="AD158" s="530"/>
      <c r="AE158" s="530"/>
      <c r="AF158" s="530"/>
      <c r="AG158" s="530"/>
      <c r="AH158" s="530"/>
      <c r="AI158" s="530"/>
      <c r="AJ158" s="530"/>
      <c r="AK158" s="530"/>
      <c r="AL158" s="530"/>
      <c r="AM158" s="530"/>
      <c r="AN158" s="530"/>
      <c r="AO158" s="530"/>
      <c r="AP158" s="530"/>
      <c r="AQ158" s="530"/>
      <c r="AR158" s="530"/>
      <c r="AS158" s="530"/>
      <c r="AT158" s="530"/>
      <c r="AU158" s="530"/>
      <c r="AV158" s="530"/>
      <c r="AW158" s="530"/>
      <c r="AX158" s="530"/>
      <c r="AY158" s="530"/>
      <c r="AZ158" s="530"/>
      <c r="BA158" s="530"/>
      <c r="BB158" s="530"/>
      <c r="BC158" s="530"/>
      <c r="BD158" s="530"/>
      <c r="BE158" s="530"/>
      <c r="BF158" s="530"/>
      <c r="BG158" s="530"/>
      <c r="BH158" s="530"/>
      <c r="BI158" s="530"/>
      <c r="BJ158" s="530"/>
      <c r="BK158" s="530"/>
      <c r="BL158" s="530"/>
      <c r="BM158" s="530"/>
      <c r="BN158" s="530"/>
      <c r="BO158" s="530"/>
      <c r="BP158" s="530"/>
      <c r="BQ158" s="530"/>
      <c r="BR158" s="530"/>
      <c r="BS158" s="530"/>
      <c r="BT158" s="530"/>
      <c r="BU158" s="530"/>
      <c r="BV158" s="530"/>
      <c r="BW158" s="530"/>
      <c r="BX158" s="530"/>
      <c r="BY158" s="530"/>
      <c r="BZ158" s="530"/>
      <c r="CA158" s="530"/>
    </row>
    <row r="159" spans="2:79">
      <c r="B159" t="s">
        <v>453</v>
      </c>
      <c r="C159" s="550" t="s">
        <v>454</v>
      </c>
      <c r="D159" s="550" t="s">
        <v>455</v>
      </c>
      <c r="E159" s="546">
        <f ca="1">DSUM($B$99:$Y$128,E$99,$C$137:$D159)</f>
        <v>4.7411583875743547E-2</v>
      </c>
      <c r="F159" s="546">
        <f ca="1">DSUM($B$99:$Y$128,F$99,$C$137:$D159)</f>
        <v>5.8849301092899979E-2</v>
      </c>
      <c r="G159" s="546">
        <f ca="1">DSUM($B$99:$Y$128,G$99,$C$137:$D159)</f>
        <v>7.2739674831915291E-2</v>
      </c>
      <c r="H159" s="546">
        <f ca="1">DSUM($B$99:$Y$128,H$99,$C$137:$D159)</f>
        <v>8.5389162333465538E-2</v>
      </c>
      <c r="I159" s="546">
        <f ca="1">DSUM($B$99:$Y$128,I$99,$C$137:$D159)</f>
        <v>9.8509637300292746E-2</v>
      </c>
      <c r="J159" s="546">
        <f ca="1">DSUM($B$99:$Y$128,J$99,$C$137:$D159)</f>
        <v>0.11649799916880522</v>
      </c>
      <c r="K159" s="546">
        <f ca="1">DSUM($B$99:$Y$128,K$99,$C$137:$D159)</f>
        <v>0.1293359749268389</v>
      </c>
      <c r="L159" s="546">
        <f ca="1">DSUM($B$99:$Y$128,L$99,$C$137:$D159)</f>
        <v>0.13374584384196297</v>
      </c>
      <c r="M159" s="546">
        <f ca="1">DSUM($B$99:$Y$128,M$99,$C$137:$D159)</f>
        <v>0.12772168953465229</v>
      </c>
      <c r="N159" s="546">
        <f ca="1">DSUM($B$99:$Y$128,N$99,$C$137:$D159)</f>
        <v>0.11134947704273492</v>
      </c>
      <c r="O159" s="546">
        <f ca="1">DSUM($B$99:$Y$128,O$99,$C$137:$D159)</f>
        <v>8.7565622651880351E-2</v>
      </c>
      <c r="P159" s="546">
        <f ca="1">DSUM($B$99:$Y$128,P$99,$C$137:$D159)</f>
        <v>6.0983521166841519E-2</v>
      </c>
      <c r="Q159" s="546">
        <f ca="1">DSUM($B$99:$Y$128,Q$99,$C$137:$D159)</f>
        <v>3.7041699258462478E-2</v>
      </c>
      <c r="R159" s="546">
        <f ca="1">DSUM($B$99:$Y$128,R$99,$C$137:$D159)</f>
        <v>1.921602692044078E-2</v>
      </c>
      <c r="S159" s="546">
        <f ca="1">DSUM($B$99:$Y$128,S$99,$C$137:$D159)</f>
        <v>8.3551169406581704E-3</v>
      </c>
      <c r="T159" s="546">
        <f ca="1">DSUM($B$99:$Y$128,T$99,$C$137:$D159)</f>
        <v>2.9766542723959075E-3</v>
      </c>
      <c r="U159" s="546">
        <f ca="1">DSUM($B$99:$Y$128,U$99,$C$137:$D159)</f>
        <v>8.4597672810473494E-4</v>
      </c>
      <c r="V159" s="546">
        <f ca="1">DSUM($B$99:$Y$128,V$99,$C$137:$D159)</f>
        <v>1.8659730407723403E-4</v>
      </c>
      <c r="W159" s="546">
        <f ca="1">DSUM($B$99:$Y$128,W$99,$C$137:$D159)</f>
        <v>3.1084647648202513E-5</v>
      </c>
      <c r="X159" s="546">
        <f ca="1">DSUM($B$99:$Y$128,X$99,$C$137:$D159)</f>
        <v>3.7677779847777202E-6</v>
      </c>
      <c r="Y159" s="546">
        <f ca="1">DSUM($B$99:$Y$128,Y$99,$C$137:$D159)</f>
        <v>1.4025179280594366</v>
      </c>
      <c r="AC159" s="530"/>
      <c r="AD159" s="530"/>
      <c r="AE159" s="530"/>
      <c r="AF159" s="530"/>
      <c r="AG159" s="530"/>
      <c r="AH159" s="530"/>
      <c r="AI159" s="530"/>
      <c r="AJ159" s="530"/>
      <c r="AK159" s="530"/>
      <c r="AL159" s="530"/>
      <c r="AM159" s="530"/>
      <c r="AN159" s="530"/>
      <c r="AO159" s="530"/>
      <c r="AP159" s="530"/>
      <c r="AQ159" s="530"/>
      <c r="AR159" s="530"/>
      <c r="AS159" s="530"/>
      <c r="AT159" s="530"/>
      <c r="AU159" s="530"/>
      <c r="AV159" s="530"/>
      <c r="AW159" s="530"/>
      <c r="AX159" s="530"/>
      <c r="AY159" s="530"/>
      <c r="AZ159" s="530"/>
      <c r="BA159" s="530"/>
      <c r="BB159" s="530"/>
      <c r="BC159" s="530"/>
      <c r="BD159" s="530"/>
      <c r="BE159" s="530"/>
      <c r="BF159" s="530"/>
      <c r="BG159" s="530"/>
      <c r="BH159" s="530"/>
      <c r="BI159" s="530"/>
      <c r="BJ159" s="530"/>
      <c r="BK159" s="530"/>
      <c r="BL159" s="530"/>
      <c r="BM159" s="530"/>
      <c r="BN159" s="530"/>
      <c r="BO159" s="530"/>
      <c r="BP159" s="530"/>
      <c r="BQ159" s="530"/>
      <c r="BR159" s="530"/>
      <c r="BS159" s="530"/>
      <c r="BT159" s="530"/>
      <c r="BU159" s="530"/>
      <c r="BV159" s="530"/>
      <c r="BW159" s="530"/>
      <c r="BX159" s="530"/>
      <c r="BY159" s="530"/>
      <c r="BZ159" s="530"/>
      <c r="CA159" s="530"/>
    </row>
    <row r="160" spans="2:79">
      <c r="B160" t="s">
        <v>456</v>
      </c>
      <c r="C160" s="550" t="s">
        <v>457</v>
      </c>
      <c r="D160" s="550" t="s">
        <v>458</v>
      </c>
      <c r="E160" s="546">
        <f ca="1">DSUM($B$99:$Y$128,E$99,$C$137:$D160)</f>
        <v>4.7411583875743547E-2</v>
      </c>
      <c r="F160" s="546">
        <f ca="1">DSUM($B$99:$Y$128,F$99,$C$137:$D160)</f>
        <v>5.8849301092899979E-2</v>
      </c>
      <c r="G160" s="546">
        <f ca="1">DSUM($B$99:$Y$128,G$99,$C$137:$D160)</f>
        <v>7.2739674831915291E-2</v>
      </c>
      <c r="H160" s="546">
        <f ca="1">DSUM($B$99:$Y$128,H$99,$C$137:$D160)</f>
        <v>8.5389162333465538E-2</v>
      </c>
      <c r="I160" s="546">
        <f ca="1">DSUM($B$99:$Y$128,I$99,$C$137:$D160)</f>
        <v>9.8509637300292746E-2</v>
      </c>
      <c r="J160" s="546">
        <f ca="1">DSUM($B$99:$Y$128,J$99,$C$137:$D160)</f>
        <v>0.11649799916880522</v>
      </c>
      <c r="K160" s="546">
        <f ca="1">DSUM($B$99:$Y$128,K$99,$C$137:$D160)</f>
        <v>0.1293359749268389</v>
      </c>
      <c r="L160" s="546">
        <f ca="1">DSUM($B$99:$Y$128,L$99,$C$137:$D160)</f>
        <v>0.13374584384196297</v>
      </c>
      <c r="M160" s="546">
        <f ca="1">DSUM($B$99:$Y$128,M$99,$C$137:$D160)</f>
        <v>0.12772168953465229</v>
      </c>
      <c r="N160" s="546">
        <f ca="1">DSUM($B$99:$Y$128,N$99,$C$137:$D160)</f>
        <v>0.11134947704273492</v>
      </c>
      <c r="O160" s="546">
        <f ca="1">DSUM($B$99:$Y$128,O$99,$C$137:$D160)</f>
        <v>8.7565622651880351E-2</v>
      </c>
      <c r="P160" s="546">
        <f ca="1">DSUM($B$99:$Y$128,P$99,$C$137:$D160)</f>
        <v>6.0983521166841519E-2</v>
      </c>
      <c r="Q160" s="546">
        <f ca="1">DSUM($B$99:$Y$128,Q$99,$C$137:$D160)</f>
        <v>3.7041699258462478E-2</v>
      </c>
      <c r="R160" s="546">
        <f ca="1">DSUM($B$99:$Y$128,R$99,$C$137:$D160)</f>
        <v>1.921602692044078E-2</v>
      </c>
      <c r="S160" s="546">
        <f ca="1">DSUM($B$99:$Y$128,S$99,$C$137:$D160)</f>
        <v>8.3551169406581704E-3</v>
      </c>
      <c r="T160" s="546">
        <f ca="1">DSUM($B$99:$Y$128,T$99,$C$137:$D160)</f>
        <v>2.9766542723959075E-3</v>
      </c>
      <c r="U160" s="546">
        <f ca="1">DSUM($B$99:$Y$128,U$99,$C$137:$D160)</f>
        <v>8.4597672810473494E-4</v>
      </c>
      <c r="V160" s="546">
        <f ca="1">DSUM($B$99:$Y$128,V$99,$C$137:$D160)</f>
        <v>1.8659730407723403E-4</v>
      </c>
      <c r="W160" s="546">
        <f ca="1">DSUM($B$99:$Y$128,W$99,$C$137:$D160)</f>
        <v>3.1084647648202513E-5</v>
      </c>
      <c r="X160" s="546">
        <f ca="1">DSUM($B$99:$Y$128,X$99,$C$137:$D160)</f>
        <v>3.7677779847777202E-6</v>
      </c>
      <c r="Y160" s="546">
        <f ca="1">DSUM($B$99:$Y$128,Y$99,$C$137:$D160)</f>
        <v>1.4025179280594366</v>
      </c>
      <c r="AC160" s="530"/>
      <c r="AD160" s="530"/>
      <c r="AE160" s="530"/>
      <c r="AF160" s="530"/>
      <c r="AG160" s="530"/>
      <c r="AH160" s="530"/>
      <c r="AI160" s="530"/>
      <c r="AJ160" s="530"/>
      <c r="AK160" s="530"/>
      <c r="AL160" s="530"/>
      <c r="AM160" s="530"/>
      <c r="AN160" s="530"/>
      <c r="AO160" s="530"/>
      <c r="AP160" s="530"/>
      <c r="AQ160" s="530"/>
      <c r="AR160" s="530"/>
      <c r="AS160" s="530"/>
      <c r="AT160" s="530"/>
      <c r="AU160" s="530"/>
      <c r="AV160" s="530"/>
      <c r="AW160" s="530"/>
      <c r="AX160" s="530"/>
      <c r="AY160" s="530"/>
      <c r="AZ160" s="530"/>
      <c r="BA160" s="530"/>
      <c r="BB160" s="530"/>
      <c r="BC160" s="530"/>
      <c r="BD160" s="530"/>
      <c r="BE160" s="530"/>
      <c r="BF160" s="530"/>
      <c r="BG160" s="530"/>
      <c r="BH160" s="530"/>
      <c r="BI160" s="530"/>
      <c r="BJ160" s="530"/>
      <c r="BK160" s="530"/>
      <c r="BL160" s="530"/>
      <c r="BM160" s="530"/>
      <c r="BN160" s="530"/>
      <c r="BO160" s="530"/>
      <c r="BP160" s="530"/>
      <c r="BQ160" s="530"/>
      <c r="BR160" s="530"/>
      <c r="BS160" s="530"/>
      <c r="BT160" s="530"/>
      <c r="BU160" s="530"/>
      <c r="BV160" s="530"/>
      <c r="BW160" s="530"/>
      <c r="BX160" s="530"/>
      <c r="BY160" s="530"/>
      <c r="BZ160" s="530"/>
      <c r="CA160" s="530"/>
    </row>
    <row r="161" spans="1:79">
      <c r="B161" t="s">
        <v>459</v>
      </c>
      <c r="C161" s="550" t="s">
        <v>460</v>
      </c>
      <c r="D161" s="550" t="s">
        <v>461</v>
      </c>
      <c r="E161" s="546">
        <f ca="1">DSUM($B$99:$Y$128,E$99,$C$137:$D161)</f>
        <v>4.7411583875743547E-2</v>
      </c>
      <c r="F161" s="546">
        <f ca="1">DSUM($B$99:$Y$128,F$99,$C$137:$D161)</f>
        <v>5.8849301092899979E-2</v>
      </c>
      <c r="G161" s="546">
        <f ca="1">DSUM($B$99:$Y$128,G$99,$C$137:$D161)</f>
        <v>7.2739674831915291E-2</v>
      </c>
      <c r="H161" s="546">
        <f ca="1">DSUM($B$99:$Y$128,H$99,$C$137:$D161)</f>
        <v>8.5389162333465538E-2</v>
      </c>
      <c r="I161" s="546">
        <f ca="1">DSUM($B$99:$Y$128,I$99,$C$137:$D161)</f>
        <v>9.8509637300292746E-2</v>
      </c>
      <c r="J161" s="546">
        <f ca="1">DSUM($B$99:$Y$128,J$99,$C$137:$D161)</f>
        <v>0.11649799916880522</v>
      </c>
      <c r="K161" s="546">
        <f ca="1">DSUM($B$99:$Y$128,K$99,$C$137:$D161)</f>
        <v>0.1293359749268389</v>
      </c>
      <c r="L161" s="546">
        <f ca="1">DSUM($B$99:$Y$128,L$99,$C$137:$D161)</f>
        <v>0.13374584384196297</v>
      </c>
      <c r="M161" s="546">
        <f ca="1">DSUM($B$99:$Y$128,M$99,$C$137:$D161)</f>
        <v>0.12772168953465229</v>
      </c>
      <c r="N161" s="546">
        <f ca="1">DSUM($B$99:$Y$128,N$99,$C$137:$D161)</f>
        <v>0.11134947704273492</v>
      </c>
      <c r="O161" s="546">
        <f ca="1">DSUM($B$99:$Y$128,O$99,$C$137:$D161)</f>
        <v>8.7565622651880351E-2</v>
      </c>
      <c r="P161" s="546">
        <f ca="1">DSUM($B$99:$Y$128,P$99,$C$137:$D161)</f>
        <v>6.0983521166841519E-2</v>
      </c>
      <c r="Q161" s="546">
        <f ca="1">DSUM($B$99:$Y$128,Q$99,$C$137:$D161)</f>
        <v>3.7041699258462478E-2</v>
      </c>
      <c r="R161" s="546">
        <f ca="1">DSUM($B$99:$Y$128,R$99,$C$137:$D161)</f>
        <v>1.921602692044078E-2</v>
      </c>
      <c r="S161" s="546">
        <f ca="1">DSUM($B$99:$Y$128,S$99,$C$137:$D161)</f>
        <v>8.3551169406581704E-3</v>
      </c>
      <c r="T161" s="546">
        <f ca="1">DSUM($B$99:$Y$128,T$99,$C$137:$D161)</f>
        <v>2.9766542723959075E-3</v>
      </c>
      <c r="U161" s="546">
        <f ca="1">DSUM($B$99:$Y$128,U$99,$C$137:$D161)</f>
        <v>8.4597672810473494E-4</v>
      </c>
      <c r="V161" s="546">
        <f ca="1">DSUM($B$99:$Y$128,V$99,$C$137:$D161)</f>
        <v>1.8659730407723403E-4</v>
      </c>
      <c r="W161" s="546">
        <f ca="1">DSUM($B$99:$Y$128,W$99,$C$137:$D161)</f>
        <v>3.1084647648202513E-5</v>
      </c>
      <c r="X161" s="546">
        <f ca="1">DSUM($B$99:$Y$128,X$99,$C$137:$D161)</f>
        <v>3.7677779847777202E-6</v>
      </c>
      <c r="Y161" s="546">
        <f ca="1">DSUM($B$99:$Y$128,Y$99,$C$137:$D161)</f>
        <v>1.4025179280594366</v>
      </c>
      <c r="AC161" s="530"/>
      <c r="AD161" s="530"/>
      <c r="AE161" s="530"/>
      <c r="AF161" s="530"/>
      <c r="AG161" s="530"/>
      <c r="AH161" s="530"/>
      <c r="AI161" s="530"/>
      <c r="AJ161" s="530"/>
      <c r="AK161" s="530"/>
      <c r="AL161" s="530"/>
      <c r="AM161" s="530"/>
      <c r="AN161" s="530"/>
      <c r="AO161" s="530"/>
      <c r="AP161" s="530"/>
      <c r="AQ161" s="530"/>
      <c r="AR161" s="530"/>
      <c r="AS161" s="530"/>
      <c r="AT161" s="530"/>
      <c r="AU161" s="530"/>
      <c r="AV161" s="530"/>
      <c r="AW161" s="530"/>
      <c r="AX161" s="530"/>
      <c r="AY161" s="530"/>
      <c r="AZ161" s="530"/>
      <c r="BA161" s="530"/>
      <c r="BB161" s="530"/>
      <c r="BC161" s="530"/>
      <c r="BD161" s="530"/>
      <c r="BE161" s="530"/>
      <c r="BF161" s="530"/>
      <c r="BG161" s="530"/>
      <c r="BH161" s="530"/>
      <c r="BI161" s="530"/>
      <c r="BJ161" s="530"/>
      <c r="BK161" s="530"/>
      <c r="BL161" s="530"/>
      <c r="BM161" s="530"/>
      <c r="BN161" s="530"/>
      <c r="BO161" s="530"/>
      <c r="BP161" s="530"/>
      <c r="BQ161" s="530"/>
      <c r="BR161" s="530"/>
      <c r="BS161" s="530"/>
      <c r="BT161" s="530"/>
      <c r="BU161" s="530"/>
      <c r="BV161" s="530"/>
      <c r="BW161" s="530"/>
      <c r="BX161" s="530"/>
      <c r="BY161" s="530"/>
      <c r="BZ161" s="530"/>
      <c r="CA161" s="530"/>
    </row>
    <row r="162" spans="1:79">
      <c r="B162" t="s">
        <v>462</v>
      </c>
      <c r="C162" s="550" t="s">
        <v>463</v>
      </c>
      <c r="D162" s="550" t="s">
        <v>464</v>
      </c>
      <c r="E162" s="546">
        <f ca="1">DSUM($B$99:$Y$128,E$99,$C$137:$D162)</f>
        <v>4.7411583875743547E-2</v>
      </c>
      <c r="F162" s="546">
        <f ca="1">DSUM($B$99:$Y$128,F$99,$C$137:$D162)</f>
        <v>5.8849301092899979E-2</v>
      </c>
      <c r="G162" s="546">
        <f ca="1">DSUM($B$99:$Y$128,G$99,$C$137:$D162)</f>
        <v>7.2739674831915291E-2</v>
      </c>
      <c r="H162" s="546">
        <f ca="1">DSUM($B$99:$Y$128,H$99,$C$137:$D162)</f>
        <v>8.5389162333465538E-2</v>
      </c>
      <c r="I162" s="546">
        <f ca="1">DSUM($B$99:$Y$128,I$99,$C$137:$D162)</f>
        <v>9.8509637300292746E-2</v>
      </c>
      <c r="J162" s="546">
        <f ca="1">DSUM($B$99:$Y$128,J$99,$C$137:$D162)</f>
        <v>0.11649799916880522</v>
      </c>
      <c r="K162" s="546">
        <f ca="1">DSUM($B$99:$Y$128,K$99,$C$137:$D162)</f>
        <v>0.1293359749268389</v>
      </c>
      <c r="L162" s="546">
        <f ca="1">DSUM($B$99:$Y$128,L$99,$C$137:$D162)</f>
        <v>0.13374584384196297</v>
      </c>
      <c r="M162" s="546">
        <f ca="1">DSUM($B$99:$Y$128,M$99,$C$137:$D162)</f>
        <v>0.12772168953465229</v>
      </c>
      <c r="N162" s="546">
        <f ca="1">DSUM($B$99:$Y$128,N$99,$C$137:$D162)</f>
        <v>0.11134947704273492</v>
      </c>
      <c r="O162" s="546">
        <f ca="1">DSUM($B$99:$Y$128,O$99,$C$137:$D162)</f>
        <v>8.7565622651880351E-2</v>
      </c>
      <c r="P162" s="546">
        <f ca="1">DSUM($B$99:$Y$128,P$99,$C$137:$D162)</f>
        <v>6.0983521166841519E-2</v>
      </c>
      <c r="Q162" s="546">
        <f ca="1">DSUM($B$99:$Y$128,Q$99,$C$137:$D162)</f>
        <v>3.7041699258462478E-2</v>
      </c>
      <c r="R162" s="546">
        <f ca="1">DSUM($B$99:$Y$128,R$99,$C$137:$D162)</f>
        <v>1.921602692044078E-2</v>
      </c>
      <c r="S162" s="546">
        <f ca="1">DSUM($B$99:$Y$128,S$99,$C$137:$D162)</f>
        <v>8.3551169406581704E-3</v>
      </c>
      <c r="T162" s="546">
        <f ca="1">DSUM($B$99:$Y$128,T$99,$C$137:$D162)</f>
        <v>2.9766542723959075E-3</v>
      </c>
      <c r="U162" s="546">
        <f ca="1">DSUM($B$99:$Y$128,U$99,$C$137:$D162)</f>
        <v>8.4597672810473494E-4</v>
      </c>
      <c r="V162" s="546">
        <f ca="1">DSUM($B$99:$Y$128,V$99,$C$137:$D162)</f>
        <v>1.8659730407723403E-4</v>
      </c>
      <c r="W162" s="546">
        <f ca="1">DSUM($B$99:$Y$128,W$99,$C$137:$D162)</f>
        <v>3.1084647648202513E-5</v>
      </c>
      <c r="X162" s="546">
        <f ca="1">DSUM($B$99:$Y$128,X$99,$C$137:$D162)</f>
        <v>3.7677779847777202E-6</v>
      </c>
      <c r="Y162" s="546">
        <f ca="1">DSUM($B$99:$Y$128,Y$99,$C$137:$D162)</f>
        <v>1.4025179280594366</v>
      </c>
      <c r="AC162" s="530"/>
      <c r="AD162" s="530"/>
      <c r="AE162" s="530"/>
      <c r="AF162" s="530"/>
      <c r="AG162" s="530"/>
      <c r="AH162" s="530"/>
      <c r="AI162" s="530"/>
      <c r="AJ162" s="530"/>
      <c r="AK162" s="530"/>
      <c r="AL162" s="530"/>
      <c r="AM162" s="530"/>
      <c r="AN162" s="530"/>
      <c r="AO162" s="530"/>
      <c r="AP162" s="530"/>
      <c r="AQ162" s="530"/>
      <c r="AR162" s="530"/>
      <c r="AS162" s="530"/>
      <c r="AT162" s="530"/>
      <c r="AU162" s="530"/>
      <c r="AV162" s="530"/>
      <c r="AW162" s="530"/>
      <c r="AX162" s="530"/>
      <c r="AY162" s="530"/>
      <c r="AZ162" s="530"/>
      <c r="BA162" s="530"/>
      <c r="BB162" s="530"/>
      <c r="BC162" s="530"/>
      <c r="BD162" s="530"/>
      <c r="BE162" s="530"/>
      <c r="BF162" s="530"/>
      <c r="BG162" s="530"/>
      <c r="BH162" s="530"/>
      <c r="BI162" s="530"/>
      <c r="BJ162" s="530"/>
      <c r="BK162" s="530"/>
      <c r="BL162" s="530"/>
      <c r="BM162" s="530"/>
      <c r="BN162" s="530"/>
      <c r="BO162" s="530"/>
      <c r="BP162" s="530"/>
      <c r="BQ162" s="530"/>
      <c r="BR162" s="530"/>
      <c r="BS162" s="530"/>
      <c r="BT162" s="530"/>
      <c r="BU162" s="530"/>
      <c r="BV162" s="530"/>
      <c r="BW162" s="530"/>
      <c r="BX162" s="530"/>
      <c r="BY162" s="530"/>
      <c r="BZ162" s="530"/>
      <c r="CA162" s="530"/>
    </row>
    <row r="163" spans="1:79">
      <c r="B163" t="s">
        <v>465</v>
      </c>
      <c r="C163" s="550" t="s">
        <v>466</v>
      </c>
      <c r="D163" s="550" t="s">
        <v>467</v>
      </c>
      <c r="E163" s="546">
        <f ca="1">DSUM($B$99:$Y$128,E$99,$C$137:$D163)</f>
        <v>4.7411583875743547E-2</v>
      </c>
      <c r="F163" s="546">
        <f ca="1">DSUM($B$99:$Y$128,F$99,$C$137:$D163)</f>
        <v>5.8849301092899979E-2</v>
      </c>
      <c r="G163" s="546">
        <f ca="1">DSUM($B$99:$Y$128,G$99,$C$137:$D163)</f>
        <v>7.2739674831915291E-2</v>
      </c>
      <c r="H163" s="546">
        <f ca="1">DSUM($B$99:$Y$128,H$99,$C$137:$D163)</f>
        <v>8.5389162333465538E-2</v>
      </c>
      <c r="I163" s="546">
        <f ca="1">DSUM($B$99:$Y$128,I$99,$C$137:$D163)</f>
        <v>9.8509637300292746E-2</v>
      </c>
      <c r="J163" s="546">
        <f ca="1">DSUM($B$99:$Y$128,J$99,$C$137:$D163)</f>
        <v>0.11649799916880522</v>
      </c>
      <c r="K163" s="546">
        <f ca="1">DSUM($B$99:$Y$128,K$99,$C$137:$D163)</f>
        <v>0.1293359749268389</v>
      </c>
      <c r="L163" s="546">
        <f ca="1">DSUM($B$99:$Y$128,L$99,$C$137:$D163)</f>
        <v>0.13374584384196297</v>
      </c>
      <c r="M163" s="546">
        <f ca="1">DSUM($B$99:$Y$128,M$99,$C$137:$D163)</f>
        <v>0.12772168953465229</v>
      </c>
      <c r="N163" s="546">
        <f ca="1">DSUM($B$99:$Y$128,N$99,$C$137:$D163)</f>
        <v>0.11134947704273492</v>
      </c>
      <c r="O163" s="546">
        <f ca="1">DSUM($B$99:$Y$128,O$99,$C$137:$D163)</f>
        <v>8.7565622651880351E-2</v>
      </c>
      <c r="P163" s="546">
        <f ca="1">DSUM($B$99:$Y$128,P$99,$C$137:$D163)</f>
        <v>6.0983521166841519E-2</v>
      </c>
      <c r="Q163" s="546">
        <f ca="1">DSUM($B$99:$Y$128,Q$99,$C$137:$D163)</f>
        <v>3.7041699258462478E-2</v>
      </c>
      <c r="R163" s="546">
        <f ca="1">DSUM($B$99:$Y$128,R$99,$C$137:$D163)</f>
        <v>1.921602692044078E-2</v>
      </c>
      <c r="S163" s="546">
        <f ca="1">DSUM($B$99:$Y$128,S$99,$C$137:$D163)</f>
        <v>8.3551169406581704E-3</v>
      </c>
      <c r="T163" s="546">
        <f ca="1">DSUM($B$99:$Y$128,T$99,$C$137:$D163)</f>
        <v>2.9766542723959075E-3</v>
      </c>
      <c r="U163" s="546">
        <f ca="1">DSUM($B$99:$Y$128,U$99,$C$137:$D163)</f>
        <v>8.4597672810473494E-4</v>
      </c>
      <c r="V163" s="546">
        <f ca="1">DSUM($B$99:$Y$128,V$99,$C$137:$D163)</f>
        <v>1.8659730407723403E-4</v>
      </c>
      <c r="W163" s="546">
        <f ca="1">DSUM($B$99:$Y$128,W$99,$C$137:$D163)</f>
        <v>3.1084647648202513E-5</v>
      </c>
      <c r="X163" s="546">
        <f ca="1">DSUM($B$99:$Y$128,X$99,$C$137:$D163)</f>
        <v>3.7677779847777202E-6</v>
      </c>
      <c r="Y163" s="546">
        <f ca="1">DSUM($B$99:$Y$128,Y$99,$C$137:$D163)</f>
        <v>1.4025179280594366</v>
      </c>
      <c r="AC163" s="530"/>
      <c r="AD163" s="530"/>
      <c r="AE163" s="530"/>
      <c r="AF163" s="530"/>
      <c r="AG163" s="530"/>
      <c r="AH163" s="530"/>
      <c r="AI163" s="530"/>
      <c r="AJ163" s="530"/>
      <c r="AK163" s="530"/>
      <c r="AL163" s="530"/>
      <c r="AM163" s="530"/>
      <c r="AN163" s="530"/>
      <c r="AO163" s="530"/>
      <c r="AP163" s="530"/>
      <c r="AQ163" s="530"/>
      <c r="AR163" s="530"/>
      <c r="AS163" s="530"/>
      <c r="AT163" s="530"/>
      <c r="AU163" s="530"/>
      <c r="AV163" s="530"/>
      <c r="AW163" s="530"/>
      <c r="AX163" s="530"/>
      <c r="AY163" s="530"/>
      <c r="AZ163" s="530"/>
      <c r="BA163" s="530"/>
      <c r="BB163" s="530"/>
      <c r="BC163" s="530"/>
      <c r="BD163" s="530"/>
      <c r="BE163" s="530"/>
      <c r="BF163" s="530"/>
      <c r="BG163" s="530"/>
      <c r="BH163" s="530"/>
      <c r="BI163" s="530"/>
      <c r="BJ163" s="530"/>
      <c r="BK163" s="530"/>
      <c r="BL163" s="530"/>
      <c r="BM163" s="530"/>
      <c r="BN163" s="530"/>
      <c r="BO163" s="530"/>
      <c r="BP163" s="530"/>
      <c r="BQ163" s="530"/>
      <c r="BR163" s="530"/>
      <c r="BS163" s="530"/>
      <c r="BT163" s="530"/>
      <c r="BU163" s="530"/>
      <c r="BV163" s="530"/>
      <c r="BW163" s="530"/>
      <c r="BX163" s="530"/>
      <c r="BY163" s="530"/>
      <c r="BZ163" s="530"/>
      <c r="CA163" s="530"/>
    </row>
    <row r="164" spans="1:79">
      <c r="B164" t="s">
        <v>468</v>
      </c>
      <c r="C164" s="550" t="s">
        <v>469</v>
      </c>
      <c r="D164" s="550" t="s">
        <v>470</v>
      </c>
      <c r="E164" s="546">
        <f ca="1">DSUM($B$99:$Y$128,E$99,$C$137:$D164)</f>
        <v>4.7411583875743547E-2</v>
      </c>
      <c r="F164" s="546">
        <f ca="1">DSUM($B$99:$Y$128,F$99,$C$137:$D164)</f>
        <v>5.8849301092899979E-2</v>
      </c>
      <c r="G164" s="546">
        <f ca="1">DSUM($B$99:$Y$128,G$99,$C$137:$D164)</f>
        <v>7.2739674831915291E-2</v>
      </c>
      <c r="H164" s="546">
        <f ca="1">DSUM($B$99:$Y$128,H$99,$C$137:$D164)</f>
        <v>8.5389162333465538E-2</v>
      </c>
      <c r="I164" s="546">
        <f ca="1">DSUM($B$99:$Y$128,I$99,$C$137:$D164)</f>
        <v>9.8509637300292746E-2</v>
      </c>
      <c r="J164" s="546">
        <f ca="1">DSUM($B$99:$Y$128,J$99,$C$137:$D164)</f>
        <v>0.11649799916880522</v>
      </c>
      <c r="K164" s="546">
        <f ca="1">DSUM($B$99:$Y$128,K$99,$C$137:$D164)</f>
        <v>0.1293359749268389</v>
      </c>
      <c r="L164" s="546">
        <f ca="1">DSUM($B$99:$Y$128,L$99,$C$137:$D164)</f>
        <v>0.13374584384196297</v>
      </c>
      <c r="M164" s="546">
        <f ca="1">DSUM($B$99:$Y$128,M$99,$C$137:$D164)</f>
        <v>0.12772168953465229</v>
      </c>
      <c r="N164" s="546">
        <f ca="1">DSUM($B$99:$Y$128,N$99,$C$137:$D164)</f>
        <v>0.11134947704273492</v>
      </c>
      <c r="O164" s="546">
        <f ca="1">DSUM($B$99:$Y$128,O$99,$C$137:$D164)</f>
        <v>8.7565622651880351E-2</v>
      </c>
      <c r="P164" s="546">
        <f ca="1">DSUM($B$99:$Y$128,P$99,$C$137:$D164)</f>
        <v>6.0983521166841519E-2</v>
      </c>
      <c r="Q164" s="546">
        <f ca="1">DSUM($B$99:$Y$128,Q$99,$C$137:$D164)</f>
        <v>3.7041699258462478E-2</v>
      </c>
      <c r="R164" s="546">
        <f ca="1">DSUM($B$99:$Y$128,R$99,$C$137:$D164)</f>
        <v>1.921602692044078E-2</v>
      </c>
      <c r="S164" s="546">
        <f ca="1">DSUM($B$99:$Y$128,S$99,$C$137:$D164)</f>
        <v>8.3551169406581704E-3</v>
      </c>
      <c r="T164" s="546">
        <f ca="1">DSUM($B$99:$Y$128,T$99,$C$137:$D164)</f>
        <v>2.9766542723959075E-3</v>
      </c>
      <c r="U164" s="546">
        <f ca="1">DSUM($B$99:$Y$128,U$99,$C$137:$D164)</f>
        <v>8.4597672810473494E-4</v>
      </c>
      <c r="V164" s="546">
        <f ca="1">DSUM($B$99:$Y$128,V$99,$C$137:$D164)</f>
        <v>1.8659730407723403E-4</v>
      </c>
      <c r="W164" s="546">
        <f ca="1">DSUM($B$99:$Y$128,W$99,$C$137:$D164)</f>
        <v>3.1084647648202513E-5</v>
      </c>
      <c r="X164" s="546">
        <f ca="1">DSUM($B$99:$Y$128,X$99,$C$137:$D164)</f>
        <v>3.7677779847777202E-6</v>
      </c>
      <c r="Y164" s="546">
        <f ca="1">DSUM($B$99:$Y$128,Y$99,$C$137:$D164)</f>
        <v>1.4025179280594366</v>
      </c>
      <c r="AC164" s="530"/>
      <c r="AD164" s="530"/>
      <c r="AE164" s="530"/>
      <c r="AF164" s="530"/>
      <c r="AG164" s="530"/>
      <c r="AH164" s="530"/>
      <c r="AI164" s="530"/>
      <c r="AJ164" s="530"/>
      <c r="AK164" s="530"/>
      <c r="AL164" s="530"/>
      <c r="AM164" s="530"/>
      <c r="AN164" s="530"/>
      <c r="AO164" s="530"/>
      <c r="AP164" s="530"/>
      <c r="AQ164" s="530"/>
      <c r="AR164" s="530"/>
      <c r="AS164" s="530"/>
      <c r="AT164" s="530"/>
      <c r="AU164" s="530"/>
      <c r="AV164" s="530"/>
      <c r="AW164" s="530"/>
      <c r="AX164" s="530"/>
      <c r="AY164" s="530"/>
      <c r="AZ164" s="530"/>
      <c r="BA164" s="530"/>
      <c r="BB164" s="530"/>
      <c r="BC164" s="530"/>
      <c r="BD164" s="530"/>
      <c r="BE164" s="530"/>
      <c r="BF164" s="530"/>
      <c r="BG164" s="530"/>
      <c r="BH164" s="530"/>
      <c r="BI164" s="530"/>
      <c r="BJ164" s="530"/>
      <c r="BK164" s="530"/>
      <c r="BL164" s="530"/>
      <c r="BM164" s="530"/>
      <c r="BN164" s="530"/>
      <c r="BO164" s="530"/>
      <c r="BP164" s="530"/>
      <c r="BQ164" s="530"/>
      <c r="BR164" s="530"/>
      <c r="BS164" s="530"/>
      <c r="BT164" s="530"/>
      <c r="BU164" s="530"/>
      <c r="BV164" s="530"/>
      <c r="BW164" s="530"/>
      <c r="BX164" s="530"/>
      <c r="BY164" s="530"/>
      <c r="BZ164" s="530"/>
      <c r="CA164" s="530"/>
    </row>
    <row r="165" spans="1:79">
      <c r="B165" t="s">
        <v>471</v>
      </c>
      <c r="C165" s="550" t="s">
        <v>472</v>
      </c>
      <c r="D165" s="550" t="s">
        <v>473</v>
      </c>
      <c r="E165" s="546">
        <f ca="1">DSUM($B$99:$Y$128,E$99,$C$137:$D165)</f>
        <v>4.7411583875743547E-2</v>
      </c>
      <c r="F165" s="546">
        <f ca="1">DSUM($B$99:$Y$128,F$99,$C$137:$D165)</f>
        <v>5.8849301092899979E-2</v>
      </c>
      <c r="G165" s="546">
        <f ca="1">DSUM($B$99:$Y$128,G$99,$C$137:$D165)</f>
        <v>7.2739674831915291E-2</v>
      </c>
      <c r="H165" s="546">
        <f ca="1">DSUM($B$99:$Y$128,H$99,$C$137:$D165)</f>
        <v>8.5389162333465538E-2</v>
      </c>
      <c r="I165" s="546">
        <f ca="1">DSUM($B$99:$Y$128,I$99,$C$137:$D165)</f>
        <v>9.8509637300292746E-2</v>
      </c>
      <c r="J165" s="546">
        <f ca="1">DSUM($B$99:$Y$128,J$99,$C$137:$D165)</f>
        <v>0.11649799916880522</v>
      </c>
      <c r="K165" s="546">
        <f ca="1">DSUM($B$99:$Y$128,K$99,$C$137:$D165)</f>
        <v>0.1293359749268389</v>
      </c>
      <c r="L165" s="546">
        <f ca="1">DSUM($B$99:$Y$128,L$99,$C$137:$D165)</f>
        <v>0.13374584384196297</v>
      </c>
      <c r="M165" s="546">
        <f ca="1">DSUM($B$99:$Y$128,M$99,$C$137:$D165)</f>
        <v>0.12772168953465229</v>
      </c>
      <c r="N165" s="546">
        <f ca="1">DSUM($B$99:$Y$128,N$99,$C$137:$D165)</f>
        <v>0.11134947704273492</v>
      </c>
      <c r="O165" s="546">
        <f ca="1">DSUM($B$99:$Y$128,O$99,$C$137:$D165)</f>
        <v>8.7565622651880351E-2</v>
      </c>
      <c r="P165" s="546">
        <f ca="1">DSUM($B$99:$Y$128,P$99,$C$137:$D165)</f>
        <v>6.0983521166841519E-2</v>
      </c>
      <c r="Q165" s="546">
        <f ca="1">DSUM($B$99:$Y$128,Q$99,$C$137:$D165)</f>
        <v>3.7041699258462478E-2</v>
      </c>
      <c r="R165" s="546">
        <f ca="1">DSUM($B$99:$Y$128,R$99,$C$137:$D165)</f>
        <v>1.921602692044078E-2</v>
      </c>
      <c r="S165" s="546">
        <f ca="1">DSUM($B$99:$Y$128,S$99,$C$137:$D165)</f>
        <v>8.3551169406581704E-3</v>
      </c>
      <c r="T165" s="546">
        <f ca="1">DSUM($B$99:$Y$128,T$99,$C$137:$D165)</f>
        <v>2.9766542723959075E-3</v>
      </c>
      <c r="U165" s="546">
        <f ca="1">DSUM($B$99:$Y$128,U$99,$C$137:$D165)</f>
        <v>8.4597672810473494E-4</v>
      </c>
      <c r="V165" s="546">
        <f ca="1">DSUM($B$99:$Y$128,V$99,$C$137:$D165)</f>
        <v>1.8659730407723403E-4</v>
      </c>
      <c r="W165" s="546">
        <f ca="1">DSUM($B$99:$Y$128,W$99,$C$137:$D165)</f>
        <v>3.1084647648202513E-5</v>
      </c>
      <c r="X165" s="546">
        <f ca="1">DSUM($B$99:$Y$128,X$99,$C$137:$D165)</f>
        <v>3.7677779847777202E-6</v>
      </c>
      <c r="Y165" s="546">
        <f ca="1">DSUM($B$99:$Y$128,Y$99,$C$137:$D165)</f>
        <v>1.4025179280594366</v>
      </c>
      <c r="AC165" s="530"/>
      <c r="AD165" s="530"/>
      <c r="AE165" s="530"/>
      <c r="AF165" s="530"/>
      <c r="AG165" s="530"/>
      <c r="AH165" s="530"/>
      <c r="AI165" s="530"/>
      <c r="AJ165" s="530"/>
      <c r="AK165" s="530"/>
      <c r="AL165" s="530"/>
      <c r="AM165" s="530"/>
      <c r="AN165" s="530"/>
      <c r="AO165" s="530"/>
      <c r="AP165" s="530"/>
      <c r="AQ165" s="530"/>
      <c r="AR165" s="530"/>
      <c r="AS165" s="530"/>
      <c r="AT165" s="530"/>
      <c r="AU165" s="530"/>
      <c r="AV165" s="530"/>
      <c r="AW165" s="530"/>
      <c r="AX165" s="530"/>
      <c r="AY165" s="530"/>
      <c r="AZ165" s="530"/>
      <c r="BA165" s="530"/>
      <c r="BB165" s="530"/>
      <c r="BC165" s="530"/>
      <c r="BD165" s="530"/>
      <c r="BE165" s="530"/>
      <c r="BF165" s="530"/>
      <c r="BG165" s="530"/>
      <c r="BH165" s="530"/>
      <c r="BI165" s="530"/>
      <c r="BJ165" s="530"/>
      <c r="BK165" s="530"/>
      <c r="BL165" s="530"/>
      <c r="BM165" s="530"/>
      <c r="BN165" s="530"/>
      <c r="BO165" s="530"/>
      <c r="BP165" s="530"/>
      <c r="BQ165" s="530"/>
      <c r="BR165" s="530"/>
      <c r="BS165" s="530"/>
      <c r="BT165" s="530"/>
      <c r="BU165" s="530"/>
      <c r="BV165" s="530"/>
      <c r="BW165" s="530"/>
      <c r="BX165" s="530"/>
      <c r="BY165" s="530"/>
      <c r="BZ165" s="530"/>
      <c r="CA165" s="530"/>
    </row>
    <row r="166" spans="1:79">
      <c r="B166" t="s">
        <v>474</v>
      </c>
      <c r="C166" s="550" t="s">
        <v>475</v>
      </c>
      <c r="D166" s="550" t="s">
        <v>476</v>
      </c>
      <c r="E166" s="546">
        <f ca="1">DSUM($B$99:$Y$128,E$99,$C$137:$D166)</f>
        <v>4.7411583875743547E-2</v>
      </c>
      <c r="F166" s="546">
        <f ca="1">DSUM($B$99:$Y$128,F$99,$C$137:$D166)</f>
        <v>5.8849301092899979E-2</v>
      </c>
      <c r="G166" s="546">
        <f ca="1">DSUM($B$99:$Y$128,G$99,$C$137:$D166)</f>
        <v>7.2739674831915291E-2</v>
      </c>
      <c r="H166" s="546">
        <f ca="1">DSUM($B$99:$Y$128,H$99,$C$137:$D166)</f>
        <v>8.5389162333465538E-2</v>
      </c>
      <c r="I166" s="546">
        <f ca="1">DSUM($B$99:$Y$128,I$99,$C$137:$D166)</f>
        <v>9.8509637300292746E-2</v>
      </c>
      <c r="J166" s="546">
        <f ca="1">DSUM($B$99:$Y$128,J$99,$C$137:$D166)</f>
        <v>0.11649799916880522</v>
      </c>
      <c r="K166" s="546">
        <f ca="1">DSUM($B$99:$Y$128,K$99,$C$137:$D166)</f>
        <v>0.1293359749268389</v>
      </c>
      <c r="L166" s="546">
        <f ca="1">DSUM($B$99:$Y$128,L$99,$C$137:$D166)</f>
        <v>0.13374584384196297</v>
      </c>
      <c r="M166" s="546">
        <f ca="1">DSUM($B$99:$Y$128,M$99,$C$137:$D166)</f>
        <v>0.12772168953465229</v>
      </c>
      <c r="N166" s="546">
        <f ca="1">DSUM($B$99:$Y$128,N$99,$C$137:$D166)</f>
        <v>0.11134947704273492</v>
      </c>
      <c r="O166" s="546">
        <f ca="1">DSUM($B$99:$Y$128,O$99,$C$137:$D166)</f>
        <v>8.7565622651880351E-2</v>
      </c>
      <c r="P166" s="546">
        <f ca="1">DSUM($B$99:$Y$128,P$99,$C$137:$D166)</f>
        <v>6.0983521166841519E-2</v>
      </c>
      <c r="Q166" s="546">
        <f ca="1">DSUM($B$99:$Y$128,Q$99,$C$137:$D166)</f>
        <v>3.7041699258462478E-2</v>
      </c>
      <c r="R166" s="546">
        <f ca="1">DSUM($B$99:$Y$128,R$99,$C$137:$D166)</f>
        <v>1.921602692044078E-2</v>
      </c>
      <c r="S166" s="546">
        <f ca="1">DSUM($B$99:$Y$128,S$99,$C$137:$D166)</f>
        <v>8.3551169406581704E-3</v>
      </c>
      <c r="T166" s="546">
        <f ca="1">DSUM($B$99:$Y$128,T$99,$C$137:$D166)</f>
        <v>2.9766542723959075E-3</v>
      </c>
      <c r="U166" s="546">
        <f ca="1">DSUM($B$99:$Y$128,U$99,$C$137:$D166)</f>
        <v>8.4597672810473494E-4</v>
      </c>
      <c r="V166" s="546">
        <f ca="1">DSUM($B$99:$Y$128,V$99,$C$137:$D166)</f>
        <v>1.8659730407723403E-4</v>
      </c>
      <c r="W166" s="546">
        <f ca="1">DSUM($B$99:$Y$128,W$99,$C$137:$D166)</f>
        <v>3.1084647648202513E-5</v>
      </c>
      <c r="X166" s="546">
        <f ca="1">DSUM($B$99:$Y$128,X$99,$C$137:$D166)</f>
        <v>3.7677779847777202E-6</v>
      </c>
      <c r="Y166" s="546">
        <f ca="1">DSUM($B$99:$Y$128,Y$99,$C$137:$D166)</f>
        <v>1.4025179280594366</v>
      </c>
      <c r="AC166" s="530"/>
      <c r="AD166" s="530"/>
      <c r="AE166" s="530"/>
      <c r="AF166" s="530"/>
      <c r="AG166" s="530"/>
      <c r="AH166" s="530"/>
      <c r="AI166" s="530"/>
      <c r="AJ166" s="530"/>
      <c r="AK166" s="530"/>
      <c r="AL166" s="530"/>
      <c r="AM166" s="530"/>
      <c r="AN166" s="530"/>
      <c r="AO166" s="530"/>
      <c r="AP166" s="530"/>
      <c r="AQ166" s="530"/>
      <c r="AR166" s="530"/>
      <c r="AS166" s="530"/>
      <c r="AT166" s="530"/>
      <c r="AU166" s="530"/>
      <c r="AV166" s="530"/>
      <c r="AW166" s="530"/>
      <c r="AX166" s="530"/>
      <c r="AY166" s="530"/>
      <c r="AZ166" s="530"/>
      <c r="BA166" s="530"/>
      <c r="BB166" s="530"/>
      <c r="BC166" s="530"/>
      <c r="BD166" s="530"/>
      <c r="BE166" s="530"/>
      <c r="BF166" s="530"/>
      <c r="BG166" s="530"/>
      <c r="BH166" s="530"/>
      <c r="BI166" s="530"/>
      <c r="BJ166" s="530"/>
      <c r="BK166" s="530"/>
      <c r="BL166" s="530"/>
      <c r="BM166" s="530"/>
      <c r="BN166" s="530"/>
      <c r="BO166" s="530"/>
      <c r="BP166" s="530"/>
      <c r="BQ166" s="530"/>
      <c r="BR166" s="530"/>
      <c r="BS166" s="530"/>
      <c r="BT166" s="530"/>
      <c r="BU166" s="530"/>
      <c r="BV166" s="530"/>
      <c r="BW166" s="530"/>
      <c r="BX166" s="530"/>
      <c r="BY166" s="530"/>
      <c r="BZ166" s="530"/>
      <c r="CA166" s="530"/>
    </row>
    <row r="167" spans="1:79">
      <c r="B167" t="s">
        <v>477</v>
      </c>
      <c r="C167" s="550" t="s">
        <v>478</v>
      </c>
      <c r="D167" s="550" t="s">
        <v>479</v>
      </c>
      <c r="E167" s="546">
        <f ca="1">DSUM($B$99:$Y$128,E$99,$C$137:$D167)</f>
        <v>4.7411583875743547E-2</v>
      </c>
      <c r="F167" s="546">
        <f ca="1">DSUM($B$99:$Y$128,F$99,$C$137:$D167)</f>
        <v>5.8849301092899979E-2</v>
      </c>
      <c r="G167" s="546">
        <f ca="1">DSUM($B$99:$Y$128,G$99,$C$137:$D167)</f>
        <v>7.2739674831915291E-2</v>
      </c>
      <c r="H167" s="546">
        <f ca="1">DSUM($B$99:$Y$128,H$99,$C$137:$D167)</f>
        <v>8.5389162333465538E-2</v>
      </c>
      <c r="I167" s="546">
        <f ca="1">DSUM($B$99:$Y$128,I$99,$C$137:$D167)</f>
        <v>9.8509637300292746E-2</v>
      </c>
      <c r="J167" s="546">
        <f ca="1">DSUM($B$99:$Y$128,J$99,$C$137:$D167)</f>
        <v>0.11649799916880522</v>
      </c>
      <c r="K167" s="546">
        <f ca="1">DSUM($B$99:$Y$128,K$99,$C$137:$D167)</f>
        <v>0.1293359749268389</v>
      </c>
      <c r="L167" s="546">
        <f ca="1">DSUM($B$99:$Y$128,L$99,$C$137:$D167)</f>
        <v>0.13374584384196297</v>
      </c>
      <c r="M167" s="546">
        <f ca="1">DSUM($B$99:$Y$128,M$99,$C$137:$D167)</f>
        <v>0.12772168953465229</v>
      </c>
      <c r="N167" s="546">
        <f ca="1">DSUM($B$99:$Y$128,N$99,$C$137:$D167)</f>
        <v>0.11134947704273492</v>
      </c>
      <c r="O167" s="546">
        <f ca="1">DSUM($B$99:$Y$128,O$99,$C$137:$D167)</f>
        <v>8.7565622651880351E-2</v>
      </c>
      <c r="P167" s="546">
        <f ca="1">DSUM($B$99:$Y$128,P$99,$C$137:$D167)</f>
        <v>6.0983521166841519E-2</v>
      </c>
      <c r="Q167" s="546">
        <f ca="1">DSUM($B$99:$Y$128,Q$99,$C$137:$D167)</f>
        <v>3.7041699258462478E-2</v>
      </c>
      <c r="R167" s="546">
        <f ca="1">DSUM($B$99:$Y$128,R$99,$C$137:$D167)</f>
        <v>1.921602692044078E-2</v>
      </c>
      <c r="S167" s="546">
        <f ca="1">DSUM($B$99:$Y$128,S$99,$C$137:$D167)</f>
        <v>8.3551169406581704E-3</v>
      </c>
      <c r="T167" s="546">
        <f ca="1">DSUM($B$99:$Y$128,T$99,$C$137:$D167)</f>
        <v>2.9766542723959075E-3</v>
      </c>
      <c r="U167" s="546">
        <f ca="1">DSUM($B$99:$Y$128,U$99,$C$137:$D167)</f>
        <v>8.4597672810473494E-4</v>
      </c>
      <c r="V167" s="546">
        <f ca="1">DSUM($B$99:$Y$128,V$99,$C$137:$D167)</f>
        <v>1.8659730407723403E-4</v>
      </c>
      <c r="W167" s="546">
        <f ca="1">DSUM($B$99:$Y$128,W$99,$C$137:$D167)</f>
        <v>3.1084647648202513E-5</v>
      </c>
      <c r="X167" s="546">
        <f ca="1">DSUM($B$99:$Y$128,X$99,$C$137:$D167)</f>
        <v>3.7677779847777202E-6</v>
      </c>
      <c r="Y167" s="546">
        <f ca="1">DSUM($B$99:$Y$128,Y$99,$C$137:$D167)</f>
        <v>1.4025179280594366</v>
      </c>
      <c r="AC167" s="530"/>
      <c r="AD167" s="530"/>
      <c r="AE167" s="530"/>
      <c r="AF167" s="530"/>
      <c r="AG167" s="530"/>
      <c r="AH167" s="530"/>
      <c r="AI167" s="530"/>
      <c r="AJ167" s="530"/>
      <c r="AK167" s="530"/>
      <c r="AL167" s="530"/>
      <c r="AM167" s="530"/>
      <c r="AN167" s="530"/>
      <c r="AO167" s="530"/>
      <c r="AP167" s="530"/>
      <c r="AQ167" s="530"/>
      <c r="AR167" s="530"/>
      <c r="AS167" s="530"/>
      <c r="AT167" s="530"/>
      <c r="AU167" s="530"/>
      <c r="AV167" s="530"/>
      <c r="AW167" s="530"/>
      <c r="AX167" s="530"/>
      <c r="AY167" s="530"/>
      <c r="AZ167" s="530"/>
      <c r="BA167" s="530"/>
      <c r="BB167" s="530"/>
      <c r="BC167" s="530"/>
      <c r="BD167" s="530"/>
      <c r="BE167" s="530"/>
      <c r="BF167" s="530"/>
      <c r="BG167" s="530"/>
      <c r="BH167" s="530"/>
      <c r="BI167" s="530"/>
      <c r="BJ167" s="530"/>
      <c r="BK167" s="530"/>
      <c r="BL167" s="530"/>
      <c r="BM167" s="530"/>
      <c r="BN167" s="530"/>
      <c r="BO167" s="530"/>
      <c r="BP167" s="530"/>
      <c r="BQ167" s="530"/>
      <c r="BR167" s="530"/>
      <c r="BS167" s="530"/>
      <c r="BT167" s="530"/>
      <c r="BU167" s="530"/>
      <c r="BV167" s="530"/>
      <c r="BW167" s="530"/>
      <c r="BX167" s="530"/>
      <c r="BY167" s="530"/>
      <c r="BZ167" s="530"/>
      <c r="CA167" s="530"/>
    </row>
    <row r="168" spans="1:79">
      <c r="B168" t="s">
        <v>480</v>
      </c>
      <c r="C168" s="550" t="s">
        <v>481</v>
      </c>
      <c r="D168" s="550" t="s">
        <v>482</v>
      </c>
      <c r="E168" s="546">
        <f ca="1">DSUM($B$99:$Y$128,E$99,$C$137:$D168)</f>
        <v>4.7411583875743547E-2</v>
      </c>
      <c r="F168" s="546">
        <f ca="1">DSUM($B$99:$Y$128,F$99,$C$137:$D168)</f>
        <v>5.8849301092899979E-2</v>
      </c>
      <c r="G168" s="546">
        <f ca="1">DSUM($B$99:$Y$128,G$99,$C$137:$D168)</f>
        <v>7.2739674831915291E-2</v>
      </c>
      <c r="H168" s="546">
        <f ca="1">DSUM($B$99:$Y$128,H$99,$C$137:$D168)</f>
        <v>8.5389162333465538E-2</v>
      </c>
      <c r="I168" s="546">
        <f ca="1">DSUM($B$99:$Y$128,I$99,$C$137:$D168)</f>
        <v>9.8509637300292746E-2</v>
      </c>
      <c r="J168" s="546">
        <f ca="1">DSUM($B$99:$Y$128,J$99,$C$137:$D168)</f>
        <v>0.11649799916880522</v>
      </c>
      <c r="K168" s="546">
        <f ca="1">DSUM($B$99:$Y$128,K$99,$C$137:$D168)</f>
        <v>0.1293359749268389</v>
      </c>
      <c r="L168" s="546">
        <f ca="1">DSUM($B$99:$Y$128,L$99,$C$137:$D168)</f>
        <v>0.13374584384196297</v>
      </c>
      <c r="M168" s="546">
        <f ca="1">DSUM($B$99:$Y$128,M$99,$C$137:$D168)</f>
        <v>0.12772168953465229</v>
      </c>
      <c r="N168" s="546">
        <f ca="1">DSUM($B$99:$Y$128,N$99,$C$137:$D168)</f>
        <v>0.11134947704273492</v>
      </c>
      <c r="O168" s="546">
        <f ca="1">DSUM($B$99:$Y$128,O$99,$C$137:$D168)</f>
        <v>8.7565622651880351E-2</v>
      </c>
      <c r="P168" s="546">
        <f ca="1">DSUM($B$99:$Y$128,P$99,$C$137:$D168)</f>
        <v>6.0983521166841519E-2</v>
      </c>
      <c r="Q168" s="546">
        <f ca="1">DSUM($B$99:$Y$128,Q$99,$C$137:$D168)</f>
        <v>3.7041699258462478E-2</v>
      </c>
      <c r="R168" s="546">
        <f ca="1">DSUM($B$99:$Y$128,R$99,$C$137:$D168)</f>
        <v>1.921602692044078E-2</v>
      </c>
      <c r="S168" s="546">
        <f ca="1">DSUM($B$99:$Y$128,S$99,$C$137:$D168)</f>
        <v>8.3551169406581704E-3</v>
      </c>
      <c r="T168" s="546">
        <f ca="1">DSUM($B$99:$Y$128,T$99,$C$137:$D168)</f>
        <v>2.9766542723959075E-3</v>
      </c>
      <c r="U168" s="546">
        <f ca="1">DSUM($B$99:$Y$128,U$99,$C$137:$D168)</f>
        <v>8.4597672810473494E-4</v>
      </c>
      <c r="V168" s="546">
        <f ca="1">DSUM($B$99:$Y$128,V$99,$C$137:$D168)</f>
        <v>1.8659730407723403E-4</v>
      </c>
      <c r="W168" s="546">
        <f ca="1">DSUM($B$99:$Y$128,W$99,$C$137:$D168)</f>
        <v>3.1084647648202513E-5</v>
      </c>
      <c r="X168" s="546">
        <f ca="1">DSUM($B$99:$Y$128,X$99,$C$137:$D168)</f>
        <v>3.7677779847777202E-6</v>
      </c>
      <c r="Y168" s="546">
        <f ca="1">DSUM($B$99:$Y$128,Y$99,$C$137:$D168)</f>
        <v>1.4025179280594366</v>
      </c>
      <c r="AC168" s="530"/>
      <c r="AD168" s="530"/>
      <c r="AE168" s="530"/>
      <c r="AF168" s="530"/>
      <c r="AG168" s="530"/>
      <c r="AH168" s="530"/>
      <c r="AI168" s="530"/>
      <c r="AJ168" s="530"/>
      <c r="AK168" s="530"/>
      <c r="AL168" s="530"/>
      <c r="AM168" s="530"/>
      <c r="AN168" s="530"/>
      <c r="AO168" s="530"/>
      <c r="AP168" s="530"/>
      <c r="AQ168" s="530"/>
      <c r="AR168" s="530"/>
      <c r="AS168" s="530"/>
      <c r="AT168" s="530"/>
      <c r="AU168" s="530"/>
      <c r="AV168" s="530"/>
      <c r="AW168" s="530"/>
      <c r="AX168" s="530"/>
      <c r="AY168" s="530"/>
      <c r="AZ168" s="530"/>
      <c r="BA168" s="530"/>
      <c r="BB168" s="530"/>
      <c r="BC168" s="530"/>
      <c r="BD168" s="530"/>
      <c r="BE168" s="530"/>
      <c r="BF168" s="530"/>
      <c r="BG168" s="530"/>
      <c r="BH168" s="530"/>
      <c r="BI168" s="530"/>
      <c r="BJ168" s="530"/>
      <c r="BK168" s="530"/>
      <c r="BL168" s="530"/>
      <c r="BM168" s="530"/>
      <c r="BN168" s="530"/>
      <c r="BO168" s="530"/>
      <c r="BP168" s="530"/>
      <c r="BQ168" s="530"/>
      <c r="BR168" s="530"/>
      <c r="BS168" s="530"/>
      <c r="BT168" s="530"/>
      <c r="BU168" s="530"/>
      <c r="BV168" s="530"/>
      <c r="BW168" s="530"/>
      <c r="BX168" s="530"/>
      <c r="BY168" s="530"/>
      <c r="BZ168" s="530"/>
      <c r="CA168" s="530"/>
    </row>
    <row r="169" spans="1:79">
      <c r="B169" t="s">
        <v>483</v>
      </c>
      <c r="C169" s="550" t="s">
        <v>484</v>
      </c>
      <c r="D169" s="550" t="s">
        <v>485</v>
      </c>
      <c r="E169" s="546">
        <f ca="1">DSUM($B$99:$Y$128,E$99,$C$137:$D169)</f>
        <v>4.7411583875743547E-2</v>
      </c>
      <c r="F169" s="546">
        <f ca="1">DSUM($B$99:$Y$128,F$99,$C$137:$D169)</f>
        <v>5.8849301092899979E-2</v>
      </c>
      <c r="G169" s="546">
        <f ca="1">DSUM($B$99:$Y$128,G$99,$C$137:$D169)</f>
        <v>7.2739674831915291E-2</v>
      </c>
      <c r="H169" s="546">
        <f ca="1">DSUM($B$99:$Y$128,H$99,$C$137:$D169)</f>
        <v>8.5389162333465538E-2</v>
      </c>
      <c r="I169" s="546">
        <f ca="1">DSUM($B$99:$Y$128,I$99,$C$137:$D169)</f>
        <v>9.8509637300292746E-2</v>
      </c>
      <c r="J169" s="546">
        <f ca="1">DSUM($B$99:$Y$128,J$99,$C$137:$D169)</f>
        <v>0.11649799916880522</v>
      </c>
      <c r="K169" s="546">
        <f ca="1">DSUM($B$99:$Y$128,K$99,$C$137:$D169)</f>
        <v>0.1293359749268389</v>
      </c>
      <c r="L169" s="546">
        <f ca="1">DSUM($B$99:$Y$128,L$99,$C$137:$D169)</f>
        <v>0.13374584384196297</v>
      </c>
      <c r="M169" s="546">
        <f ca="1">DSUM($B$99:$Y$128,M$99,$C$137:$D169)</f>
        <v>0.12772168953465229</v>
      </c>
      <c r="N169" s="546">
        <f ca="1">DSUM($B$99:$Y$128,N$99,$C$137:$D169)</f>
        <v>0.11134947704273492</v>
      </c>
      <c r="O169" s="546">
        <f ca="1">DSUM($B$99:$Y$128,O$99,$C$137:$D169)</f>
        <v>8.7565622651880351E-2</v>
      </c>
      <c r="P169" s="546">
        <f ca="1">DSUM($B$99:$Y$128,P$99,$C$137:$D169)</f>
        <v>6.0983521166841519E-2</v>
      </c>
      <c r="Q169" s="546">
        <f ca="1">DSUM($B$99:$Y$128,Q$99,$C$137:$D169)</f>
        <v>3.7041699258462478E-2</v>
      </c>
      <c r="R169" s="546">
        <f ca="1">DSUM($B$99:$Y$128,R$99,$C$137:$D169)</f>
        <v>1.921602692044078E-2</v>
      </c>
      <c r="S169" s="546">
        <f ca="1">DSUM($B$99:$Y$128,S$99,$C$137:$D169)</f>
        <v>8.3551169406581704E-3</v>
      </c>
      <c r="T169" s="546">
        <f ca="1">DSUM($B$99:$Y$128,T$99,$C$137:$D169)</f>
        <v>2.9766542723959075E-3</v>
      </c>
      <c r="U169" s="546">
        <f ca="1">DSUM($B$99:$Y$128,U$99,$C$137:$D169)</f>
        <v>8.4597672810473494E-4</v>
      </c>
      <c r="V169" s="546">
        <f ca="1">DSUM($B$99:$Y$128,V$99,$C$137:$D169)</f>
        <v>1.8659730407723403E-4</v>
      </c>
      <c r="W169" s="546">
        <f ca="1">DSUM($B$99:$Y$128,W$99,$C$137:$D169)</f>
        <v>3.1084647648202513E-5</v>
      </c>
      <c r="X169" s="546">
        <f ca="1">DSUM($B$99:$Y$128,X$99,$C$137:$D169)</f>
        <v>3.7677779847777202E-6</v>
      </c>
      <c r="Y169" s="546">
        <f ca="1">DSUM($B$99:$Y$128,Y$99,$C$137:$D169)</f>
        <v>1.4025179280594366</v>
      </c>
      <c r="AC169" s="530"/>
      <c r="AD169" s="530"/>
      <c r="AE169" s="530"/>
      <c r="AF169" s="530"/>
      <c r="AG169" s="530"/>
      <c r="AH169" s="530"/>
      <c r="AI169" s="530"/>
      <c r="AJ169" s="530"/>
      <c r="AK169" s="530"/>
      <c r="AL169" s="530"/>
      <c r="AM169" s="530"/>
      <c r="AN169" s="530"/>
      <c r="AO169" s="530"/>
      <c r="AP169" s="530"/>
      <c r="AQ169" s="530"/>
      <c r="AR169" s="530"/>
      <c r="AS169" s="530"/>
      <c r="AT169" s="530"/>
      <c r="AU169" s="530"/>
      <c r="AV169" s="530"/>
      <c r="AW169" s="530"/>
      <c r="AX169" s="530"/>
      <c r="AY169" s="530"/>
      <c r="AZ169" s="530"/>
      <c r="BA169" s="530"/>
      <c r="BB169" s="530"/>
      <c r="BC169" s="530"/>
      <c r="BD169" s="530"/>
      <c r="BE169" s="530"/>
      <c r="BF169" s="530"/>
      <c r="BG169" s="530"/>
      <c r="BH169" s="530"/>
      <c r="BI169" s="530"/>
      <c r="BJ169" s="530"/>
      <c r="BK169" s="530"/>
      <c r="BL169" s="530"/>
      <c r="BM169" s="530"/>
      <c r="BN169" s="530"/>
      <c r="BO169" s="530"/>
      <c r="BP169" s="530"/>
      <c r="BQ169" s="530"/>
      <c r="BR169" s="530"/>
      <c r="BS169" s="530"/>
      <c r="BT169" s="530"/>
      <c r="BU169" s="530"/>
      <c r="BV169" s="530"/>
      <c r="BW169" s="530"/>
      <c r="BX169" s="530"/>
      <c r="BY169" s="530"/>
      <c r="BZ169" s="530"/>
      <c r="CA169" s="530"/>
    </row>
    <row r="170" spans="1:79">
      <c r="AC170" s="530"/>
      <c r="AD170" s="530"/>
      <c r="AE170" s="530"/>
      <c r="AF170" s="530"/>
      <c r="AG170" s="530"/>
      <c r="AH170" s="530"/>
      <c r="AI170" s="530"/>
      <c r="AJ170" s="530"/>
      <c r="AK170" s="530"/>
      <c r="AL170" s="530"/>
      <c r="AM170" s="530"/>
      <c r="AN170" s="530"/>
      <c r="AO170" s="530"/>
      <c r="AP170" s="530"/>
      <c r="AQ170" s="530"/>
      <c r="AR170" s="530"/>
      <c r="AS170" s="530"/>
      <c r="AT170" s="530"/>
      <c r="AU170" s="530"/>
      <c r="AV170" s="530"/>
      <c r="AW170" s="530"/>
      <c r="AX170" s="530"/>
      <c r="AY170" s="530"/>
      <c r="AZ170" s="530"/>
      <c r="BA170" s="530"/>
      <c r="BB170" s="530"/>
      <c r="BC170" s="530"/>
      <c r="BD170" s="530"/>
      <c r="BE170" s="530"/>
      <c r="BF170" s="530"/>
      <c r="BG170" s="530"/>
      <c r="BH170" s="530"/>
      <c r="BI170" s="530"/>
      <c r="BJ170" s="530"/>
      <c r="BK170" s="530"/>
      <c r="BL170" s="530"/>
      <c r="BM170" s="530"/>
      <c r="BN170" s="530"/>
      <c r="BO170" s="530"/>
      <c r="BP170" s="530"/>
      <c r="BQ170" s="530"/>
      <c r="BR170" s="530"/>
      <c r="BS170" s="530"/>
      <c r="BT170" s="530"/>
      <c r="BU170" s="530"/>
      <c r="BV170" s="530"/>
      <c r="BW170" s="530"/>
      <c r="BX170" s="530"/>
      <c r="BY170" s="530"/>
      <c r="BZ170" s="530"/>
      <c r="CA170" s="530"/>
    </row>
    <row r="171" spans="1:79">
      <c r="E171" s="18">
        <f ca="1">E169</f>
        <v>4.7411583875743547E-2</v>
      </c>
      <c r="F171" s="18">
        <f ca="1">F169+E171</f>
        <v>0.10626088496864353</v>
      </c>
      <c r="G171" s="18">
        <f t="shared" ref="G171:W171" ca="1" si="88">G169+F171</f>
        <v>0.17900055980055882</v>
      </c>
      <c r="H171" s="18">
        <f t="shared" ca="1" si="88"/>
        <v>0.26438972213402434</v>
      </c>
      <c r="I171" s="18">
        <f t="shared" ca="1" si="88"/>
        <v>0.36289935943431706</v>
      </c>
      <c r="J171" s="18">
        <f t="shared" ca="1" si="88"/>
        <v>0.47939735860312227</v>
      </c>
      <c r="K171" s="18">
        <f t="shared" ca="1" si="88"/>
        <v>0.60873333352996117</v>
      </c>
      <c r="L171" s="18">
        <f t="shared" ca="1" si="88"/>
        <v>0.74247917737192415</v>
      </c>
      <c r="M171" s="18">
        <f t="shared" ca="1" si="88"/>
        <v>0.87020086690657639</v>
      </c>
      <c r="N171" s="18">
        <f t="shared" ca="1" si="88"/>
        <v>0.98155034394931129</v>
      </c>
      <c r="O171" s="18">
        <f t="shared" ca="1" si="88"/>
        <v>1.0691159666011916</v>
      </c>
      <c r="P171" s="18">
        <f t="shared" ca="1" si="88"/>
        <v>1.130099487768033</v>
      </c>
      <c r="Q171" s="18">
        <f t="shared" ca="1" si="88"/>
        <v>1.1671411870264956</v>
      </c>
      <c r="R171" s="18">
        <f t="shared" ca="1" si="88"/>
        <v>1.1863572139469365</v>
      </c>
      <c r="S171" s="18">
        <f t="shared" ca="1" si="88"/>
        <v>1.1947123308875947</v>
      </c>
      <c r="T171" s="18">
        <f t="shared" ca="1" si="88"/>
        <v>1.1976889851599906</v>
      </c>
      <c r="U171" s="18">
        <f t="shared" ca="1" si="88"/>
        <v>1.1985349618880954</v>
      </c>
      <c r="V171" s="18">
        <f t="shared" ca="1" si="88"/>
        <v>1.1987215591921727</v>
      </c>
      <c r="W171" s="18">
        <f t="shared" ca="1" si="88"/>
        <v>1.1987526438398208</v>
      </c>
      <c r="X171" s="18">
        <f ca="1">X169+W171</f>
        <v>1.1987564116178056</v>
      </c>
      <c r="Y171" s="18"/>
      <c r="AC171" s="530"/>
      <c r="AD171" s="530"/>
      <c r="AE171" s="530"/>
      <c r="AF171" s="530"/>
      <c r="AG171" s="530"/>
      <c r="AH171" s="530"/>
      <c r="AI171" s="530"/>
      <c r="AJ171" s="530"/>
      <c r="AK171" s="530"/>
      <c r="AL171" s="530"/>
      <c r="AM171" s="530"/>
      <c r="AN171" s="530"/>
      <c r="AO171" s="530"/>
      <c r="AP171" s="530"/>
      <c r="AQ171" s="530"/>
      <c r="AR171" s="530"/>
      <c r="AS171" s="530"/>
      <c r="AT171" s="530"/>
      <c r="AU171" s="530"/>
      <c r="AV171" s="530"/>
      <c r="AW171" s="530"/>
      <c r="AX171" s="530"/>
      <c r="AY171" s="530"/>
      <c r="AZ171" s="530"/>
      <c r="BA171" s="530"/>
      <c r="BB171" s="530"/>
      <c r="BC171" s="530"/>
      <c r="BD171" s="530"/>
      <c r="BE171" s="530"/>
      <c r="BF171" s="530"/>
      <c r="BG171" s="530"/>
      <c r="BH171" s="530"/>
      <c r="BI171" s="530"/>
      <c r="BJ171" s="530"/>
      <c r="BK171" s="530"/>
      <c r="BL171" s="530"/>
      <c r="BM171" s="530"/>
      <c r="BN171" s="530"/>
      <c r="BO171" s="530"/>
      <c r="BP171" s="530"/>
      <c r="BQ171" s="530"/>
      <c r="BR171" s="530"/>
      <c r="BS171" s="530"/>
      <c r="BT171" s="530"/>
      <c r="BU171" s="530"/>
      <c r="BV171" s="530"/>
      <c r="BW171" s="530"/>
      <c r="BX171" s="530"/>
      <c r="BY171" s="530"/>
      <c r="BZ171" s="530"/>
      <c r="CA171" s="530"/>
    </row>
    <row r="172" spans="1:79" ht="15">
      <c r="A172" s="531" t="s">
        <v>486</v>
      </c>
      <c r="AC172" s="530"/>
      <c r="AD172" s="530"/>
      <c r="AE172" s="530"/>
      <c r="AF172" s="530"/>
      <c r="AG172" s="530"/>
      <c r="AH172" s="530"/>
      <c r="AI172" s="530"/>
      <c r="AJ172" s="530"/>
      <c r="AK172" s="530"/>
      <c r="AL172" s="530"/>
      <c r="AM172" s="530"/>
      <c r="AN172" s="530"/>
      <c r="AO172" s="530"/>
      <c r="AP172" s="530"/>
      <c r="AQ172" s="530"/>
      <c r="AR172" s="530"/>
      <c r="AS172" s="530"/>
      <c r="AT172" s="530"/>
      <c r="AU172" s="530"/>
      <c r="AV172" s="530"/>
      <c r="AW172" s="530"/>
      <c r="AX172" s="530"/>
      <c r="AY172" s="530"/>
      <c r="AZ172" s="530"/>
      <c r="BA172" s="530"/>
      <c r="BB172" s="530"/>
      <c r="BC172" s="530"/>
      <c r="BD172" s="530"/>
      <c r="BE172" s="530"/>
      <c r="BF172" s="530"/>
      <c r="BG172" s="530"/>
      <c r="BH172" s="530"/>
      <c r="BI172" s="530"/>
      <c r="BJ172" s="530"/>
      <c r="BK172" s="530"/>
      <c r="BL172" s="530"/>
      <c r="BM172" s="530"/>
      <c r="BN172" s="530"/>
      <c r="BO172" s="530"/>
      <c r="BP172" s="530"/>
      <c r="BQ172" s="530"/>
      <c r="BR172" s="530"/>
      <c r="BS172" s="530"/>
      <c r="BT172" s="530"/>
      <c r="BU172" s="530"/>
      <c r="BV172" s="530"/>
      <c r="BW172" s="530"/>
      <c r="BX172" s="530"/>
      <c r="BY172" s="530"/>
      <c r="BZ172" s="530"/>
      <c r="CA172" s="530"/>
    </row>
    <row r="173" spans="1:79" ht="15">
      <c r="D173" s="540" t="str">
        <f>C26</f>
        <v>Dairy - Retro</v>
      </c>
      <c r="E173" s="532">
        <f t="shared" ref="E173:X173" si="89">E11</f>
        <v>2016</v>
      </c>
      <c r="F173" s="533">
        <f t="shared" si="89"/>
        <v>2017</v>
      </c>
      <c r="G173" s="533">
        <f t="shared" si="89"/>
        <v>2018</v>
      </c>
      <c r="H173" s="533">
        <f t="shared" si="89"/>
        <v>2019</v>
      </c>
      <c r="I173" s="533">
        <f t="shared" si="89"/>
        <v>2020</v>
      </c>
      <c r="J173" s="533">
        <f t="shared" si="89"/>
        <v>2021</v>
      </c>
      <c r="K173" s="533">
        <f t="shared" si="89"/>
        <v>2022</v>
      </c>
      <c r="L173" s="533">
        <f t="shared" si="89"/>
        <v>2023</v>
      </c>
      <c r="M173" s="533">
        <f t="shared" si="89"/>
        <v>2024</v>
      </c>
      <c r="N173" s="533">
        <f t="shared" si="89"/>
        <v>2025</v>
      </c>
      <c r="O173" s="533">
        <f t="shared" si="89"/>
        <v>2026</v>
      </c>
      <c r="P173" s="533">
        <f t="shared" si="89"/>
        <v>2027</v>
      </c>
      <c r="Q173" s="533">
        <f t="shared" si="89"/>
        <v>2028</v>
      </c>
      <c r="R173" s="533">
        <f t="shared" si="89"/>
        <v>2029</v>
      </c>
      <c r="S173" s="533">
        <f t="shared" si="89"/>
        <v>2030</v>
      </c>
      <c r="T173" s="533">
        <f t="shared" si="89"/>
        <v>2031</v>
      </c>
      <c r="U173" s="533">
        <f t="shared" si="89"/>
        <v>2032</v>
      </c>
      <c r="V173" s="533">
        <f t="shared" si="89"/>
        <v>2033</v>
      </c>
      <c r="W173" s="533">
        <f t="shared" si="89"/>
        <v>2034</v>
      </c>
      <c r="X173" s="533">
        <f t="shared" si="89"/>
        <v>2035</v>
      </c>
      <c r="Y173" s="534" t="s">
        <v>378</v>
      </c>
      <c r="AC173" s="530"/>
      <c r="AD173" s="530"/>
      <c r="AE173" s="530"/>
      <c r="AF173" s="530"/>
      <c r="AG173" s="530"/>
      <c r="AH173" s="530"/>
      <c r="AI173" s="530"/>
      <c r="AJ173" s="530"/>
      <c r="AK173" s="530"/>
      <c r="AL173" s="530"/>
      <c r="AM173" s="530"/>
      <c r="AN173" s="530"/>
      <c r="AO173" s="530"/>
      <c r="AP173" s="530"/>
      <c r="AQ173" s="530"/>
      <c r="AR173" s="530"/>
      <c r="AS173" s="530"/>
      <c r="AT173" s="530"/>
      <c r="AU173" s="530"/>
      <c r="AV173" s="530"/>
      <c r="AW173" s="530"/>
      <c r="AX173" s="530"/>
      <c r="AY173" s="530"/>
      <c r="AZ173" s="530"/>
      <c r="BA173" s="530"/>
      <c r="BB173" s="530"/>
      <c r="BC173" s="530"/>
      <c r="BD173" s="530"/>
      <c r="BE173" s="530"/>
      <c r="BF173" s="530"/>
      <c r="BG173" s="530"/>
      <c r="BH173" s="530"/>
      <c r="BI173" s="530"/>
      <c r="BJ173" s="530"/>
      <c r="BK173" s="530"/>
      <c r="BL173" s="530"/>
      <c r="BM173" s="530"/>
      <c r="BN173" s="530"/>
      <c r="BO173" s="530"/>
      <c r="BP173" s="530"/>
      <c r="BQ173" s="530"/>
      <c r="BR173" s="530"/>
      <c r="BS173" s="530"/>
      <c r="BT173" s="530"/>
      <c r="BU173" s="530"/>
      <c r="BV173" s="530"/>
      <c r="BW173" s="530"/>
      <c r="BX173" s="530"/>
      <c r="BY173" s="530"/>
      <c r="BZ173" s="530"/>
      <c r="CA173" s="530"/>
    </row>
    <row r="174" spans="1:79" ht="15">
      <c r="E174" s="536" t="str">
        <f t="shared" ref="E174:X174" si="90">CONCATENATE("Units_",E$11)</f>
        <v>Units_2016</v>
      </c>
      <c r="F174" s="544" t="str">
        <f t="shared" si="90"/>
        <v>Units_2017</v>
      </c>
      <c r="G174" s="544" t="str">
        <f t="shared" si="90"/>
        <v>Units_2018</v>
      </c>
      <c r="H174" s="544" t="str">
        <f t="shared" si="90"/>
        <v>Units_2019</v>
      </c>
      <c r="I174" s="544" t="str">
        <f t="shared" si="90"/>
        <v>Units_2020</v>
      </c>
      <c r="J174" s="544" t="str">
        <f t="shared" si="90"/>
        <v>Units_2021</v>
      </c>
      <c r="K174" s="544" t="str">
        <f t="shared" si="90"/>
        <v>Units_2022</v>
      </c>
      <c r="L174" s="544" t="str">
        <f t="shared" si="90"/>
        <v>Units_2023</v>
      </c>
      <c r="M174" s="544" t="str">
        <f t="shared" si="90"/>
        <v>Units_2024</v>
      </c>
      <c r="N174" s="544" t="str">
        <f t="shared" si="90"/>
        <v>Units_2025</v>
      </c>
      <c r="O174" s="544" t="str">
        <f t="shared" si="90"/>
        <v>Units_2026</v>
      </c>
      <c r="P174" s="544" t="str">
        <f t="shared" si="90"/>
        <v>Units_2027</v>
      </c>
      <c r="Q174" s="544" t="str">
        <f t="shared" si="90"/>
        <v>Units_2028</v>
      </c>
      <c r="R174" s="544" t="str">
        <f t="shared" si="90"/>
        <v>Units_2029</v>
      </c>
      <c r="S174" s="544" t="str">
        <f t="shared" si="90"/>
        <v>Units_2030</v>
      </c>
      <c r="T174" s="544" t="str">
        <f t="shared" si="90"/>
        <v>Units_2031</v>
      </c>
      <c r="U174" s="544" t="str">
        <f t="shared" si="90"/>
        <v>Units_2032</v>
      </c>
      <c r="V174" s="544" t="str">
        <f t="shared" si="90"/>
        <v>Units_2033</v>
      </c>
      <c r="W174" s="544" t="str">
        <f t="shared" si="90"/>
        <v>Units_2034</v>
      </c>
      <c r="X174" s="544" t="str">
        <f t="shared" si="90"/>
        <v>Units_2035</v>
      </c>
      <c r="Y174" s="537" t="s">
        <v>378</v>
      </c>
      <c r="AC174" s="530"/>
      <c r="AD174" s="530"/>
      <c r="AE174" s="530"/>
      <c r="AF174" s="530"/>
      <c r="AG174" s="530"/>
      <c r="AH174" s="530"/>
      <c r="AI174" s="530"/>
      <c r="AJ174" s="530"/>
      <c r="AK174" s="530"/>
      <c r="AL174" s="530"/>
      <c r="AM174" s="530"/>
      <c r="AN174" s="530"/>
      <c r="AO174" s="530"/>
      <c r="AP174" s="530"/>
      <c r="AQ174" s="530"/>
      <c r="AR174" s="530"/>
      <c r="AS174" s="530"/>
      <c r="AT174" s="530"/>
      <c r="AU174" s="530"/>
      <c r="AV174" s="530"/>
      <c r="AW174" s="530"/>
      <c r="AX174" s="530"/>
      <c r="AY174" s="530"/>
      <c r="AZ174" s="530"/>
      <c r="BA174" s="530"/>
      <c r="BB174" s="530"/>
      <c r="BC174" s="530"/>
      <c r="BD174" s="530"/>
      <c r="BE174" s="530"/>
      <c r="BF174" s="530"/>
      <c r="BG174" s="530"/>
      <c r="BH174" s="530"/>
      <c r="BI174" s="530"/>
      <c r="BJ174" s="530"/>
      <c r="BK174" s="530"/>
      <c r="BL174" s="530"/>
      <c r="BM174" s="530"/>
      <c r="BN174" s="530"/>
      <c r="BO174" s="530"/>
      <c r="BP174" s="530"/>
      <c r="BQ174" s="530"/>
      <c r="BR174" s="530"/>
      <c r="BS174" s="530"/>
      <c r="BT174" s="530"/>
      <c r="BU174" s="530"/>
      <c r="BV174" s="530"/>
      <c r="BW174" s="530"/>
      <c r="BX174" s="530"/>
      <c r="BY174" s="530"/>
      <c r="BZ174" s="530"/>
      <c r="CA174" s="530"/>
    </row>
    <row r="175" spans="1:79">
      <c r="D175" t="s">
        <v>390</v>
      </c>
      <c r="E175" s="551">
        <f ca="1">E138</f>
        <v>3.5061218154721199E-2</v>
      </c>
      <c r="F175" s="551">
        <f t="shared" ref="F175:Y175" ca="1" si="91">F138</f>
        <v>4.3448833364372441E-2</v>
      </c>
      <c r="G175" s="551">
        <f t="shared" ca="1" si="91"/>
        <v>5.3624400116900395E-2</v>
      </c>
      <c r="H175" s="551">
        <f t="shared" ca="1" si="91"/>
        <v>6.2846282598037539E-2</v>
      </c>
      <c r="I175" s="551">
        <f t="shared" ca="1" si="91"/>
        <v>7.2383124412103358E-2</v>
      </c>
      <c r="J175" s="551">
        <f t="shared" ca="1" si="91"/>
        <v>8.5459209733039651E-2</v>
      </c>
      <c r="K175" s="551">
        <f t="shared" ca="1" si="91"/>
        <v>9.4715070648720145E-2</v>
      </c>
      <c r="L175" s="551">
        <f t="shared" ca="1" si="91"/>
        <v>9.7775996722748754E-2</v>
      </c>
      <c r="M175" s="551">
        <f t="shared" ca="1" si="91"/>
        <v>9.3199130968425539E-2</v>
      </c>
      <c r="N175" s="551">
        <f t="shared" ca="1" si="91"/>
        <v>8.1093877341056844E-2</v>
      </c>
      <c r="O175" s="551">
        <f t="shared" ca="1" si="91"/>
        <v>6.3632675205508665E-2</v>
      </c>
      <c r="P175" s="551">
        <f t="shared" ca="1" si="91"/>
        <v>4.4228371374945723E-2</v>
      </c>
      <c r="Q175" s="551">
        <f t="shared" ca="1" si="91"/>
        <v>2.6811343146450197E-2</v>
      </c>
      <c r="R175" s="551">
        <f t="shared" ca="1" si="91"/>
        <v>1.3884982657291002E-2</v>
      </c>
      <c r="S175" s="551">
        <f t="shared" ca="1" si="91"/>
        <v>6.0267385753302507E-3</v>
      </c>
      <c r="T175" s="551">
        <f t="shared" ca="1" si="91"/>
        <v>2.1432850341389013E-3</v>
      </c>
      <c r="U175" s="551">
        <f t="shared" ca="1" si="91"/>
        <v>6.0812802498952292E-4</v>
      </c>
      <c r="V175" s="551">
        <f t="shared" ca="1" si="91"/>
        <v>1.3393460582851943E-4</v>
      </c>
      <c r="W175" s="551">
        <f t="shared" ca="1" si="91"/>
        <v>2.2274763155990707E-5</v>
      </c>
      <c r="X175" s="551">
        <f t="shared" ca="1" si="91"/>
        <v>2.6967020436163463E-6</v>
      </c>
      <c r="Y175" s="551">
        <f t="shared" ca="1" si="91"/>
        <v>1.0038205483674683</v>
      </c>
      <c r="AC175" s="530"/>
      <c r="AD175" s="530"/>
      <c r="AE175" s="530"/>
      <c r="AF175" s="530"/>
      <c r="AG175" s="530"/>
      <c r="AH175" s="530"/>
      <c r="AI175" s="530"/>
      <c r="AJ175" s="530"/>
      <c r="AK175" s="530"/>
      <c r="AL175" s="530"/>
      <c r="AM175" s="530"/>
      <c r="AN175" s="530"/>
      <c r="AO175" s="530"/>
      <c r="AP175" s="530"/>
      <c r="AQ175" s="530"/>
      <c r="AR175" s="530"/>
      <c r="AS175" s="530"/>
      <c r="AT175" s="530"/>
      <c r="AU175" s="530"/>
      <c r="AV175" s="530"/>
      <c r="AW175" s="530"/>
      <c r="AX175" s="530"/>
      <c r="AY175" s="530"/>
      <c r="AZ175" s="530"/>
      <c r="BA175" s="530"/>
      <c r="BB175" s="530"/>
      <c r="BC175" s="530"/>
      <c r="BD175" s="530"/>
      <c r="BE175" s="530"/>
      <c r="BF175" s="530"/>
      <c r="BG175" s="530"/>
      <c r="BH175" s="530"/>
      <c r="BI175" s="530"/>
      <c r="BJ175" s="530"/>
      <c r="BK175" s="530"/>
      <c r="BL175" s="530"/>
      <c r="BM175" s="530"/>
      <c r="BN175" s="530"/>
      <c r="BO175" s="530"/>
      <c r="BP175" s="530"/>
      <c r="BQ175" s="530"/>
      <c r="BR175" s="530"/>
      <c r="BS175" s="530"/>
      <c r="BT175" s="530"/>
      <c r="BU175" s="530"/>
      <c r="BV175" s="530"/>
      <c r="BW175" s="530"/>
      <c r="BX175" s="530"/>
      <c r="BY175" s="530"/>
      <c r="BZ175" s="530"/>
      <c r="CA175" s="530"/>
    </row>
    <row r="176" spans="1:79">
      <c r="D176" t="s">
        <v>393</v>
      </c>
      <c r="E176" s="551">
        <f ca="1">E139-E138</f>
        <v>1.2350365721022348E-2</v>
      </c>
      <c r="F176" s="551">
        <f ca="1">F139-F138</f>
        <v>1.5400467728527538E-2</v>
      </c>
      <c r="G176" s="551">
        <f t="shared" ref="G176:Y189" ca="1" si="92">G139-G138</f>
        <v>1.9115274715014896E-2</v>
      </c>
      <c r="H176" s="551">
        <f t="shared" ca="1" si="92"/>
        <v>2.2542879735427998E-2</v>
      </c>
      <c r="I176" s="551">
        <f t="shared" ca="1" si="92"/>
        <v>2.6126512888189388E-2</v>
      </c>
      <c r="J176" s="551">
        <f t="shared" ca="1" si="92"/>
        <v>3.1038789435765574E-2</v>
      </c>
      <c r="K176" s="551">
        <f t="shared" ca="1" si="92"/>
        <v>3.4620904278118758E-2</v>
      </c>
      <c r="L176" s="551">
        <f t="shared" ca="1" si="92"/>
        <v>3.5969847119214221E-2</v>
      </c>
      <c r="M176" s="551">
        <f t="shared" ca="1" si="92"/>
        <v>3.4522558566226755E-2</v>
      </c>
      <c r="N176" s="551">
        <f ca="1">N139-N138</f>
        <v>3.0255599701678071E-2</v>
      </c>
      <c r="O176" s="551">
        <f t="shared" ca="1" si="92"/>
        <v>2.3932947446371686E-2</v>
      </c>
      <c r="P176" s="551">
        <f t="shared" ca="1" si="92"/>
        <v>1.6755149791895796E-2</v>
      </c>
      <c r="Q176" s="551">
        <f t="shared" ca="1" si="92"/>
        <v>1.0230356112012281E-2</v>
      </c>
      <c r="R176" s="551">
        <f t="shared" ca="1" si="92"/>
        <v>5.3310442631497781E-3</v>
      </c>
      <c r="S176" s="551">
        <f t="shared" ca="1" si="92"/>
        <v>2.3283783653279197E-3</v>
      </c>
      <c r="T176" s="551">
        <f t="shared" ca="1" si="92"/>
        <v>8.3336923825700618E-4</v>
      </c>
      <c r="U176" s="551">
        <f t="shared" ca="1" si="92"/>
        <v>2.3784870311521203E-4</v>
      </c>
      <c r="V176" s="551">
        <f t="shared" ca="1" si="92"/>
        <v>5.2662698248714604E-5</v>
      </c>
      <c r="W176" s="551">
        <f t="shared" ca="1" si="92"/>
        <v>8.8098844922118059E-6</v>
      </c>
      <c r="X176" s="551">
        <f t="shared" ca="1" si="92"/>
        <v>1.0710759411613738E-6</v>
      </c>
      <c r="Y176" s="551">
        <f t="shared" ca="1" si="92"/>
        <v>0.39869737969196839</v>
      </c>
      <c r="AC176" s="530"/>
      <c r="AD176" s="530"/>
      <c r="AE176" s="530"/>
      <c r="AF176" s="530"/>
      <c r="AG176" s="530"/>
      <c r="AH176" s="530"/>
      <c r="AI176" s="530"/>
      <c r="AJ176" s="530"/>
      <c r="AK176" s="530"/>
      <c r="AL176" s="530"/>
      <c r="AM176" s="530"/>
      <c r="AN176" s="530"/>
      <c r="AO176" s="530"/>
      <c r="AP176" s="530"/>
      <c r="AQ176" s="530"/>
      <c r="AR176" s="530"/>
      <c r="AS176" s="530"/>
      <c r="AT176" s="530"/>
      <c r="AU176" s="530"/>
      <c r="AV176" s="530"/>
      <c r="AW176" s="530"/>
      <c r="AX176" s="530"/>
      <c r="AY176" s="530"/>
      <c r="AZ176" s="530"/>
      <c r="BA176" s="530"/>
      <c r="BB176" s="530"/>
      <c r="BC176" s="530"/>
      <c r="BD176" s="530"/>
      <c r="BE176" s="530"/>
      <c r="BF176" s="530"/>
      <c r="BG176" s="530"/>
      <c r="BH176" s="530"/>
      <c r="BI176" s="530"/>
      <c r="BJ176" s="530"/>
      <c r="BK176" s="530"/>
      <c r="BL176" s="530"/>
      <c r="BM176" s="530"/>
      <c r="BN176" s="530"/>
      <c r="BO176" s="530"/>
      <c r="BP176" s="530"/>
      <c r="BQ176" s="530"/>
      <c r="BR176" s="530"/>
      <c r="BS176" s="530"/>
      <c r="BT176" s="530"/>
      <c r="BU176" s="530"/>
      <c r="BV176" s="530"/>
      <c r="BW176" s="530"/>
      <c r="BX176" s="530"/>
      <c r="BY176" s="530"/>
      <c r="BZ176" s="530"/>
      <c r="CA176" s="530"/>
    </row>
    <row r="177" spans="4:79">
      <c r="D177" t="s">
        <v>396</v>
      </c>
      <c r="E177" s="551">
        <f t="shared" ref="E177:T192" ca="1" si="93">E140-E139</f>
        <v>0</v>
      </c>
      <c r="F177" s="551">
        <f t="shared" ca="1" si="93"/>
        <v>0</v>
      </c>
      <c r="G177" s="551">
        <f t="shared" ca="1" si="92"/>
        <v>0</v>
      </c>
      <c r="H177" s="551">
        <f t="shared" ca="1" si="92"/>
        <v>0</v>
      </c>
      <c r="I177" s="551">
        <f t="shared" ca="1" si="92"/>
        <v>0</v>
      </c>
      <c r="J177" s="551">
        <f t="shared" ca="1" si="92"/>
        <v>0</v>
      </c>
      <c r="K177" s="551">
        <f t="shared" ca="1" si="92"/>
        <v>0</v>
      </c>
      <c r="L177" s="551">
        <f t="shared" ca="1" si="92"/>
        <v>0</v>
      </c>
      <c r="M177" s="551">
        <f t="shared" ca="1" si="92"/>
        <v>0</v>
      </c>
      <c r="N177" s="551">
        <f t="shared" ca="1" si="92"/>
        <v>0</v>
      </c>
      <c r="O177" s="551">
        <f t="shared" ca="1" si="92"/>
        <v>0</v>
      </c>
      <c r="P177" s="551">
        <f t="shared" ca="1" si="92"/>
        <v>0</v>
      </c>
      <c r="Q177" s="551">
        <f t="shared" ca="1" si="92"/>
        <v>0</v>
      </c>
      <c r="R177" s="551">
        <f t="shared" ca="1" si="92"/>
        <v>0</v>
      </c>
      <c r="S177" s="551">
        <f t="shared" ca="1" si="92"/>
        <v>0</v>
      </c>
      <c r="T177" s="551">
        <f t="shared" ca="1" si="92"/>
        <v>0</v>
      </c>
      <c r="U177" s="551">
        <f t="shared" ca="1" si="92"/>
        <v>0</v>
      </c>
      <c r="V177" s="551">
        <f t="shared" ca="1" si="92"/>
        <v>0</v>
      </c>
      <c r="W177" s="551">
        <f t="shared" ca="1" si="92"/>
        <v>0</v>
      </c>
      <c r="X177" s="551">
        <f t="shared" ca="1" si="92"/>
        <v>0</v>
      </c>
      <c r="Y177" s="551">
        <f t="shared" ca="1" si="92"/>
        <v>0</v>
      </c>
      <c r="AC177" s="530"/>
      <c r="AD177" s="530"/>
      <c r="AE177" s="530"/>
      <c r="AF177" s="530"/>
      <c r="AG177" s="530"/>
      <c r="AH177" s="530"/>
      <c r="AI177" s="530"/>
      <c r="AJ177" s="530"/>
      <c r="AK177" s="530"/>
      <c r="AL177" s="530"/>
      <c r="AM177" s="530"/>
      <c r="AN177" s="530"/>
      <c r="AO177" s="530"/>
      <c r="AP177" s="530"/>
      <c r="AQ177" s="530"/>
      <c r="AR177" s="530"/>
      <c r="AS177" s="530"/>
      <c r="AT177" s="530"/>
      <c r="AU177" s="530"/>
      <c r="AV177" s="530"/>
      <c r="AW177" s="530"/>
      <c r="AX177" s="530"/>
      <c r="AY177" s="530"/>
      <c r="AZ177" s="530"/>
      <c r="BA177" s="530"/>
      <c r="BB177" s="530"/>
      <c r="BC177" s="530"/>
      <c r="BD177" s="530"/>
      <c r="BE177" s="530"/>
      <c r="BF177" s="530"/>
      <c r="BG177" s="530"/>
      <c r="BH177" s="530"/>
      <c r="BI177" s="530"/>
      <c r="BJ177" s="530"/>
      <c r="BK177" s="530"/>
      <c r="BL177" s="530"/>
      <c r="BM177" s="530"/>
      <c r="BN177" s="530"/>
      <c r="BO177" s="530"/>
      <c r="BP177" s="530"/>
      <c r="BQ177" s="530"/>
      <c r="BR177" s="530"/>
      <c r="BS177" s="530"/>
      <c r="BT177" s="530"/>
      <c r="BU177" s="530"/>
      <c r="BV177" s="530"/>
      <c r="BW177" s="530"/>
      <c r="BX177" s="530"/>
      <c r="BY177" s="530"/>
      <c r="BZ177" s="530"/>
      <c r="CA177" s="530"/>
    </row>
    <row r="178" spans="4:79">
      <c r="D178" t="s">
        <v>399</v>
      </c>
      <c r="E178" s="551">
        <f t="shared" ca="1" si="93"/>
        <v>0</v>
      </c>
      <c r="F178" s="551">
        <f t="shared" ca="1" si="93"/>
        <v>0</v>
      </c>
      <c r="G178" s="551">
        <f t="shared" ca="1" si="92"/>
        <v>0</v>
      </c>
      <c r="H178" s="551">
        <f t="shared" ca="1" si="92"/>
        <v>0</v>
      </c>
      <c r="I178" s="551">
        <f t="shared" ca="1" si="92"/>
        <v>0</v>
      </c>
      <c r="J178" s="551">
        <f t="shared" ca="1" si="92"/>
        <v>0</v>
      </c>
      <c r="K178" s="551">
        <f t="shared" ca="1" si="92"/>
        <v>0</v>
      </c>
      <c r="L178" s="551">
        <f t="shared" ca="1" si="92"/>
        <v>0</v>
      </c>
      <c r="M178" s="551">
        <f t="shared" ca="1" si="92"/>
        <v>0</v>
      </c>
      <c r="N178" s="551">
        <f t="shared" ca="1" si="92"/>
        <v>0</v>
      </c>
      <c r="O178" s="551">
        <f t="shared" ca="1" si="92"/>
        <v>0</v>
      </c>
      <c r="P178" s="551">
        <f t="shared" ca="1" si="92"/>
        <v>0</v>
      </c>
      <c r="Q178" s="551">
        <f t="shared" ca="1" si="92"/>
        <v>0</v>
      </c>
      <c r="R178" s="551">
        <f t="shared" ca="1" si="92"/>
        <v>0</v>
      </c>
      <c r="S178" s="551">
        <f t="shared" ca="1" si="92"/>
        <v>0</v>
      </c>
      <c r="T178" s="551">
        <f t="shared" ca="1" si="92"/>
        <v>0</v>
      </c>
      <c r="U178" s="551">
        <f t="shared" ca="1" si="92"/>
        <v>0</v>
      </c>
      <c r="V178" s="551">
        <f t="shared" ca="1" si="92"/>
        <v>0</v>
      </c>
      <c r="W178" s="551">
        <f t="shared" ca="1" si="92"/>
        <v>0</v>
      </c>
      <c r="X178" s="551">
        <f t="shared" ca="1" si="92"/>
        <v>0</v>
      </c>
      <c r="Y178" s="551">
        <f t="shared" ca="1" si="92"/>
        <v>0</v>
      </c>
      <c r="AC178" s="530"/>
      <c r="AD178" s="530"/>
      <c r="AE178" s="530"/>
      <c r="AF178" s="530"/>
      <c r="AG178" s="530"/>
      <c r="AH178" s="530"/>
      <c r="AI178" s="530"/>
      <c r="AJ178" s="530"/>
      <c r="AK178" s="530"/>
      <c r="AL178" s="530"/>
      <c r="AM178" s="530"/>
      <c r="AN178" s="530"/>
      <c r="AO178" s="530"/>
      <c r="AP178" s="530"/>
      <c r="AQ178" s="530"/>
      <c r="AR178" s="530"/>
      <c r="AS178" s="530"/>
      <c r="AT178" s="530"/>
      <c r="AU178" s="530"/>
      <c r="AV178" s="530"/>
      <c r="AW178" s="530"/>
      <c r="AX178" s="530"/>
      <c r="AY178" s="530"/>
      <c r="AZ178" s="530"/>
      <c r="BA178" s="530"/>
      <c r="BB178" s="530"/>
      <c r="BC178" s="530"/>
      <c r="BD178" s="530"/>
      <c r="BE178" s="530"/>
      <c r="BF178" s="530"/>
      <c r="BG178" s="530"/>
      <c r="BH178" s="530"/>
      <c r="BI178" s="530"/>
      <c r="BJ178" s="530"/>
      <c r="BK178" s="530"/>
      <c r="BL178" s="530"/>
      <c r="BM178" s="530"/>
      <c r="BN178" s="530"/>
      <c r="BO178" s="530"/>
      <c r="BP178" s="530"/>
      <c r="BQ178" s="530"/>
      <c r="BR178" s="530"/>
      <c r="BS178" s="530"/>
      <c r="BT178" s="530"/>
      <c r="BU178" s="530"/>
      <c r="BV178" s="530"/>
      <c r="BW178" s="530"/>
      <c r="BX178" s="530"/>
      <c r="BY178" s="530"/>
      <c r="BZ178" s="530"/>
      <c r="CA178" s="530"/>
    </row>
    <row r="179" spans="4:79">
      <c r="D179" t="s">
        <v>402</v>
      </c>
      <c r="E179" s="551">
        <f t="shared" ca="1" si="93"/>
        <v>0</v>
      </c>
      <c r="F179" s="551">
        <f t="shared" ca="1" si="93"/>
        <v>0</v>
      </c>
      <c r="G179" s="551">
        <f t="shared" ca="1" si="92"/>
        <v>0</v>
      </c>
      <c r="H179" s="551">
        <f t="shared" ca="1" si="92"/>
        <v>0</v>
      </c>
      <c r="I179" s="551">
        <f t="shared" ca="1" si="92"/>
        <v>0</v>
      </c>
      <c r="J179" s="551">
        <f t="shared" ca="1" si="92"/>
        <v>0</v>
      </c>
      <c r="K179" s="551">
        <f t="shared" ca="1" si="92"/>
        <v>0</v>
      </c>
      <c r="L179" s="551">
        <f t="shared" ca="1" si="92"/>
        <v>0</v>
      </c>
      <c r="M179" s="551">
        <f t="shared" ca="1" si="92"/>
        <v>0</v>
      </c>
      <c r="N179" s="551">
        <f t="shared" ca="1" si="92"/>
        <v>0</v>
      </c>
      <c r="O179" s="551">
        <f t="shared" ca="1" si="92"/>
        <v>0</v>
      </c>
      <c r="P179" s="551">
        <f t="shared" ca="1" si="92"/>
        <v>0</v>
      </c>
      <c r="Q179" s="551">
        <f t="shared" ca="1" si="92"/>
        <v>0</v>
      </c>
      <c r="R179" s="551">
        <f t="shared" ca="1" si="92"/>
        <v>0</v>
      </c>
      <c r="S179" s="551">
        <f t="shared" ca="1" si="92"/>
        <v>0</v>
      </c>
      <c r="T179" s="551">
        <f t="shared" ca="1" si="92"/>
        <v>0</v>
      </c>
      <c r="U179" s="551">
        <f t="shared" ca="1" si="92"/>
        <v>0</v>
      </c>
      <c r="V179" s="551">
        <f t="shared" ca="1" si="92"/>
        <v>0</v>
      </c>
      <c r="W179" s="551">
        <f t="shared" ca="1" si="92"/>
        <v>0</v>
      </c>
      <c r="X179" s="551">
        <f t="shared" ca="1" si="92"/>
        <v>0</v>
      </c>
      <c r="Y179" s="551">
        <f t="shared" ca="1" si="92"/>
        <v>0</v>
      </c>
      <c r="AC179" s="530"/>
      <c r="AD179" s="530"/>
      <c r="AE179" s="530"/>
      <c r="AF179" s="530"/>
      <c r="AG179" s="530"/>
      <c r="AH179" s="530"/>
      <c r="AI179" s="530"/>
      <c r="AJ179" s="530"/>
      <c r="AK179" s="530"/>
      <c r="AL179" s="530"/>
      <c r="AM179" s="530"/>
      <c r="AN179" s="530"/>
      <c r="AO179" s="530"/>
      <c r="AP179" s="530"/>
      <c r="AQ179" s="530"/>
      <c r="AR179" s="530"/>
      <c r="AS179" s="530"/>
      <c r="AT179" s="530"/>
      <c r="AU179" s="530"/>
      <c r="AV179" s="530"/>
      <c r="AW179" s="530"/>
      <c r="AX179" s="530"/>
      <c r="AY179" s="530"/>
      <c r="AZ179" s="530"/>
      <c r="BA179" s="530"/>
      <c r="BB179" s="530"/>
      <c r="BC179" s="530"/>
      <c r="BD179" s="530"/>
      <c r="BE179" s="530"/>
      <c r="BF179" s="530"/>
      <c r="BG179" s="530"/>
      <c r="BH179" s="530"/>
      <c r="BI179" s="530"/>
      <c r="BJ179" s="530"/>
      <c r="BK179" s="530"/>
      <c r="BL179" s="530"/>
      <c r="BM179" s="530"/>
      <c r="BN179" s="530"/>
      <c r="BO179" s="530"/>
      <c r="BP179" s="530"/>
      <c r="BQ179" s="530"/>
      <c r="BR179" s="530"/>
      <c r="BS179" s="530"/>
      <c r="BT179" s="530"/>
      <c r="BU179" s="530"/>
      <c r="BV179" s="530"/>
      <c r="BW179" s="530"/>
      <c r="BX179" s="530"/>
      <c r="BY179" s="530"/>
      <c r="BZ179" s="530"/>
      <c r="CA179" s="530"/>
    </row>
    <row r="180" spans="4:79">
      <c r="D180" t="s">
        <v>405</v>
      </c>
      <c r="E180" s="551">
        <f t="shared" ca="1" si="93"/>
        <v>0</v>
      </c>
      <c r="F180" s="551">
        <f t="shared" ca="1" si="93"/>
        <v>0</v>
      </c>
      <c r="G180" s="551">
        <f t="shared" ca="1" si="92"/>
        <v>0</v>
      </c>
      <c r="H180" s="551">
        <f t="shared" ca="1" si="92"/>
        <v>0</v>
      </c>
      <c r="I180" s="551">
        <f t="shared" ca="1" si="92"/>
        <v>0</v>
      </c>
      <c r="J180" s="551">
        <f t="shared" ca="1" si="92"/>
        <v>0</v>
      </c>
      <c r="K180" s="551">
        <f t="shared" ca="1" si="92"/>
        <v>0</v>
      </c>
      <c r="L180" s="551">
        <f t="shared" ca="1" si="92"/>
        <v>0</v>
      </c>
      <c r="M180" s="551">
        <f t="shared" ca="1" si="92"/>
        <v>0</v>
      </c>
      <c r="N180" s="551">
        <f t="shared" ca="1" si="92"/>
        <v>0</v>
      </c>
      <c r="O180" s="551">
        <f t="shared" ca="1" si="92"/>
        <v>0</v>
      </c>
      <c r="P180" s="551">
        <f t="shared" ca="1" si="92"/>
        <v>0</v>
      </c>
      <c r="Q180" s="551">
        <f t="shared" ca="1" si="92"/>
        <v>0</v>
      </c>
      <c r="R180" s="551">
        <f t="shared" ca="1" si="92"/>
        <v>0</v>
      </c>
      <c r="S180" s="551">
        <f t="shared" ca="1" si="92"/>
        <v>0</v>
      </c>
      <c r="T180" s="551">
        <f t="shared" ca="1" si="92"/>
        <v>0</v>
      </c>
      <c r="U180" s="551">
        <f t="shared" ca="1" si="92"/>
        <v>0</v>
      </c>
      <c r="V180" s="551">
        <f t="shared" ca="1" si="92"/>
        <v>0</v>
      </c>
      <c r="W180" s="551">
        <f t="shared" ca="1" si="92"/>
        <v>0</v>
      </c>
      <c r="X180" s="551">
        <f t="shared" ca="1" si="92"/>
        <v>0</v>
      </c>
      <c r="Y180" s="551">
        <f t="shared" ca="1" si="92"/>
        <v>0</v>
      </c>
      <c r="AC180" s="530"/>
      <c r="AD180" s="530"/>
      <c r="AE180" s="530"/>
      <c r="AF180" s="530"/>
      <c r="AG180" s="530"/>
      <c r="AH180" s="530"/>
      <c r="AI180" s="530"/>
      <c r="AJ180" s="530"/>
      <c r="AK180" s="530"/>
      <c r="AL180" s="530"/>
      <c r="AM180" s="530"/>
      <c r="AN180" s="530"/>
      <c r="AO180" s="530"/>
      <c r="AP180" s="530"/>
      <c r="AQ180" s="530"/>
      <c r="AR180" s="530"/>
      <c r="AS180" s="530"/>
      <c r="AT180" s="530"/>
      <c r="AU180" s="530"/>
      <c r="AV180" s="530"/>
      <c r="AW180" s="530"/>
      <c r="AX180" s="530"/>
      <c r="AY180" s="530"/>
      <c r="AZ180" s="530"/>
      <c r="BA180" s="530"/>
      <c r="BB180" s="530"/>
      <c r="BC180" s="530"/>
      <c r="BD180" s="530"/>
      <c r="BE180" s="530"/>
      <c r="BF180" s="530"/>
      <c r="BG180" s="530"/>
      <c r="BH180" s="530"/>
      <c r="BI180" s="530"/>
      <c r="BJ180" s="530"/>
      <c r="BK180" s="530"/>
      <c r="BL180" s="530"/>
      <c r="BM180" s="530"/>
      <c r="BN180" s="530"/>
      <c r="BO180" s="530"/>
      <c r="BP180" s="530"/>
      <c r="BQ180" s="530"/>
      <c r="BR180" s="530"/>
      <c r="BS180" s="530"/>
      <c r="BT180" s="530"/>
      <c r="BU180" s="530"/>
      <c r="BV180" s="530"/>
      <c r="BW180" s="530"/>
      <c r="BX180" s="530"/>
      <c r="BY180" s="530"/>
      <c r="BZ180" s="530"/>
      <c r="CA180" s="530"/>
    </row>
    <row r="181" spans="4:79">
      <c r="D181" t="s">
        <v>408</v>
      </c>
      <c r="E181" s="551">
        <f t="shared" ca="1" si="93"/>
        <v>0</v>
      </c>
      <c r="F181" s="551">
        <f t="shared" ca="1" si="93"/>
        <v>0</v>
      </c>
      <c r="G181" s="551">
        <f t="shared" ca="1" si="92"/>
        <v>0</v>
      </c>
      <c r="H181" s="551">
        <f t="shared" ca="1" si="92"/>
        <v>0</v>
      </c>
      <c r="I181" s="551">
        <f t="shared" ca="1" si="92"/>
        <v>0</v>
      </c>
      <c r="J181" s="551">
        <f t="shared" ca="1" si="92"/>
        <v>0</v>
      </c>
      <c r="K181" s="551">
        <f t="shared" ca="1" si="92"/>
        <v>0</v>
      </c>
      <c r="L181" s="551">
        <f t="shared" ca="1" si="92"/>
        <v>0</v>
      </c>
      <c r="M181" s="551">
        <f t="shared" ca="1" si="92"/>
        <v>0</v>
      </c>
      <c r="N181" s="551">
        <f t="shared" ca="1" si="92"/>
        <v>0</v>
      </c>
      <c r="O181" s="551">
        <f t="shared" ca="1" si="92"/>
        <v>0</v>
      </c>
      <c r="P181" s="551">
        <f t="shared" ca="1" si="92"/>
        <v>0</v>
      </c>
      <c r="Q181" s="551">
        <f t="shared" ca="1" si="92"/>
        <v>0</v>
      </c>
      <c r="R181" s="551">
        <f t="shared" ca="1" si="92"/>
        <v>0</v>
      </c>
      <c r="S181" s="551">
        <f t="shared" ca="1" si="92"/>
        <v>0</v>
      </c>
      <c r="T181" s="551">
        <f t="shared" ca="1" si="92"/>
        <v>0</v>
      </c>
      <c r="U181" s="551">
        <f t="shared" ca="1" si="92"/>
        <v>0</v>
      </c>
      <c r="V181" s="551">
        <f t="shared" ca="1" si="92"/>
        <v>0</v>
      </c>
      <c r="W181" s="551">
        <f t="shared" ca="1" si="92"/>
        <v>0</v>
      </c>
      <c r="X181" s="551">
        <f t="shared" ca="1" si="92"/>
        <v>0</v>
      </c>
      <c r="Y181" s="551">
        <f t="shared" ca="1" si="92"/>
        <v>0</v>
      </c>
      <c r="AC181" s="530"/>
      <c r="AD181" s="530"/>
      <c r="AE181" s="530"/>
      <c r="AF181" s="530"/>
      <c r="AG181" s="530"/>
      <c r="AH181" s="530"/>
      <c r="AI181" s="530"/>
      <c r="AJ181" s="530"/>
      <c r="AK181" s="530"/>
      <c r="AL181" s="530"/>
      <c r="AM181" s="530"/>
      <c r="AN181" s="530"/>
      <c r="AO181" s="530"/>
      <c r="AP181" s="530"/>
      <c r="AQ181" s="530"/>
      <c r="AR181" s="530"/>
      <c r="AS181" s="530"/>
      <c r="AT181" s="530"/>
      <c r="AU181" s="530"/>
      <c r="AV181" s="530"/>
      <c r="AW181" s="530"/>
      <c r="AX181" s="530"/>
      <c r="AY181" s="530"/>
      <c r="AZ181" s="530"/>
      <c r="BA181" s="530"/>
      <c r="BB181" s="530"/>
      <c r="BC181" s="530"/>
      <c r="BD181" s="530"/>
      <c r="BE181" s="530"/>
      <c r="BF181" s="530"/>
      <c r="BG181" s="530"/>
      <c r="BH181" s="530"/>
      <c r="BI181" s="530"/>
      <c r="BJ181" s="530"/>
      <c r="BK181" s="530"/>
      <c r="BL181" s="530"/>
      <c r="BM181" s="530"/>
      <c r="BN181" s="530"/>
      <c r="BO181" s="530"/>
      <c r="BP181" s="530"/>
      <c r="BQ181" s="530"/>
      <c r="BR181" s="530"/>
      <c r="BS181" s="530"/>
      <c r="BT181" s="530"/>
      <c r="BU181" s="530"/>
      <c r="BV181" s="530"/>
      <c r="BW181" s="530"/>
      <c r="BX181" s="530"/>
      <c r="BY181" s="530"/>
      <c r="BZ181" s="530"/>
      <c r="CA181" s="530"/>
    </row>
    <row r="182" spans="4:79">
      <c r="D182" t="s">
        <v>411</v>
      </c>
      <c r="E182" s="551">
        <f t="shared" ca="1" si="93"/>
        <v>0</v>
      </c>
      <c r="F182" s="551">
        <f t="shared" ca="1" si="93"/>
        <v>0</v>
      </c>
      <c r="G182" s="551">
        <f t="shared" ca="1" si="92"/>
        <v>0</v>
      </c>
      <c r="H182" s="551">
        <f t="shared" ca="1" si="92"/>
        <v>0</v>
      </c>
      <c r="I182" s="551">
        <f t="shared" ca="1" si="92"/>
        <v>0</v>
      </c>
      <c r="J182" s="551">
        <f t="shared" ca="1" si="92"/>
        <v>0</v>
      </c>
      <c r="K182" s="551">
        <f t="shared" ca="1" si="92"/>
        <v>0</v>
      </c>
      <c r="L182" s="551">
        <f t="shared" ca="1" si="92"/>
        <v>0</v>
      </c>
      <c r="M182" s="551">
        <f t="shared" ca="1" si="92"/>
        <v>0</v>
      </c>
      <c r="N182" s="551">
        <f t="shared" ca="1" si="92"/>
        <v>0</v>
      </c>
      <c r="O182" s="551">
        <f t="shared" ca="1" si="92"/>
        <v>0</v>
      </c>
      <c r="P182" s="551">
        <f t="shared" ca="1" si="92"/>
        <v>0</v>
      </c>
      <c r="Q182" s="551">
        <f t="shared" ca="1" si="92"/>
        <v>0</v>
      </c>
      <c r="R182" s="551">
        <f t="shared" ca="1" si="92"/>
        <v>0</v>
      </c>
      <c r="S182" s="551">
        <f t="shared" ca="1" si="92"/>
        <v>0</v>
      </c>
      <c r="T182" s="551">
        <f t="shared" ca="1" si="92"/>
        <v>0</v>
      </c>
      <c r="U182" s="551">
        <f t="shared" ca="1" si="92"/>
        <v>0</v>
      </c>
      <c r="V182" s="551">
        <f t="shared" ca="1" si="92"/>
        <v>0</v>
      </c>
      <c r="W182" s="551">
        <f t="shared" ca="1" si="92"/>
        <v>0</v>
      </c>
      <c r="X182" s="551">
        <f t="shared" ca="1" si="92"/>
        <v>0</v>
      </c>
      <c r="Y182" s="551">
        <f t="shared" ca="1" si="92"/>
        <v>0</v>
      </c>
      <c r="AC182" s="530"/>
      <c r="AD182" s="530"/>
      <c r="AE182" s="530"/>
      <c r="AF182" s="530"/>
      <c r="AG182" s="530"/>
      <c r="AH182" s="530"/>
      <c r="AI182" s="530"/>
      <c r="AJ182" s="530"/>
      <c r="AK182" s="530"/>
      <c r="AL182" s="530"/>
      <c r="AM182" s="530"/>
      <c r="AN182" s="530"/>
      <c r="AO182" s="530"/>
      <c r="AP182" s="530"/>
      <c r="AQ182" s="530"/>
      <c r="AR182" s="530"/>
      <c r="AS182" s="530"/>
      <c r="AT182" s="530"/>
      <c r="AU182" s="530"/>
      <c r="AV182" s="530"/>
      <c r="AW182" s="530"/>
      <c r="AX182" s="530"/>
      <c r="AY182" s="530"/>
      <c r="AZ182" s="530"/>
      <c r="BA182" s="530"/>
      <c r="BB182" s="530"/>
      <c r="BC182" s="530"/>
      <c r="BD182" s="530"/>
      <c r="BE182" s="530"/>
      <c r="BF182" s="530"/>
      <c r="BG182" s="530"/>
      <c r="BH182" s="530"/>
      <c r="BI182" s="530"/>
      <c r="BJ182" s="530"/>
      <c r="BK182" s="530"/>
      <c r="BL182" s="530"/>
      <c r="BM182" s="530"/>
      <c r="BN182" s="530"/>
      <c r="BO182" s="530"/>
      <c r="BP182" s="530"/>
      <c r="BQ182" s="530"/>
      <c r="BR182" s="530"/>
      <c r="BS182" s="530"/>
      <c r="BT182" s="530"/>
      <c r="BU182" s="530"/>
      <c r="BV182" s="530"/>
      <c r="BW182" s="530"/>
      <c r="BX182" s="530"/>
      <c r="BY182" s="530"/>
      <c r="BZ182" s="530"/>
      <c r="CA182" s="530"/>
    </row>
    <row r="183" spans="4:79">
      <c r="D183" t="s">
        <v>414</v>
      </c>
      <c r="E183" s="551">
        <f t="shared" ca="1" si="93"/>
        <v>0</v>
      </c>
      <c r="F183" s="551">
        <f t="shared" ca="1" si="93"/>
        <v>0</v>
      </c>
      <c r="G183" s="551">
        <f t="shared" ca="1" si="92"/>
        <v>0</v>
      </c>
      <c r="H183" s="551">
        <f t="shared" ca="1" si="92"/>
        <v>0</v>
      </c>
      <c r="I183" s="551">
        <f t="shared" ca="1" si="92"/>
        <v>0</v>
      </c>
      <c r="J183" s="551">
        <f t="shared" ca="1" si="92"/>
        <v>0</v>
      </c>
      <c r="K183" s="551">
        <f t="shared" ca="1" si="92"/>
        <v>0</v>
      </c>
      <c r="L183" s="551">
        <f t="shared" ca="1" si="92"/>
        <v>0</v>
      </c>
      <c r="M183" s="551">
        <f t="shared" ca="1" si="92"/>
        <v>0</v>
      </c>
      <c r="N183" s="551">
        <f t="shared" ca="1" si="92"/>
        <v>0</v>
      </c>
      <c r="O183" s="551">
        <f t="shared" ca="1" si="92"/>
        <v>0</v>
      </c>
      <c r="P183" s="551">
        <f t="shared" ca="1" si="92"/>
        <v>0</v>
      </c>
      <c r="Q183" s="551">
        <f t="shared" ca="1" si="92"/>
        <v>0</v>
      </c>
      <c r="R183" s="551">
        <f t="shared" ca="1" si="92"/>
        <v>0</v>
      </c>
      <c r="S183" s="551">
        <f t="shared" ca="1" si="92"/>
        <v>0</v>
      </c>
      <c r="T183" s="551">
        <f t="shared" ca="1" si="92"/>
        <v>0</v>
      </c>
      <c r="U183" s="551">
        <f t="shared" ca="1" si="92"/>
        <v>0</v>
      </c>
      <c r="V183" s="551">
        <f t="shared" ca="1" si="92"/>
        <v>0</v>
      </c>
      <c r="W183" s="551">
        <f t="shared" ca="1" si="92"/>
        <v>0</v>
      </c>
      <c r="X183" s="551">
        <f t="shared" ca="1" si="92"/>
        <v>0</v>
      </c>
      <c r="Y183" s="551">
        <f t="shared" ca="1" si="92"/>
        <v>0</v>
      </c>
      <c r="AC183" s="530"/>
      <c r="AD183" s="530"/>
      <c r="AE183" s="530"/>
      <c r="AF183" s="530"/>
      <c r="AG183" s="530"/>
      <c r="AH183" s="530"/>
      <c r="AI183" s="530"/>
      <c r="AJ183" s="530"/>
      <c r="AK183" s="530"/>
      <c r="AL183" s="530"/>
      <c r="AM183" s="530"/>
      <c r="AN183" s="530"/>
      <c r="AO183" s="530"/>
      <c r="AP183" s="530"/>
      <c r="AQ183" s="530"/>
      <c r="AR183" s="530"/>
      <c r="AS183" s="530"/>
      <c r="AT183" s="530"/>
      <c r="AU183" s="530"/>
      <c r="AV183" s="530"/>
      <c r="AW183" s="530"/>
      <c r="AX183" s="530"/>
      <c r="AY183" s="530"/>
      <c r="AZ183" s="530"/>
      <c r="BA183" s="530"/>
      <c r="BB183" s="530"/>
      <c r="BC183" s="530"/>
      <c r="BD183" s="530"/>
      <c r="BE183" s="530"/>
      <c r="BF183" s="530"/>
      <c r="BG183" s="530"/>
      <c r="BH183" s="530"/>
      <c r="BI183" s="530"/>
      <c r="BJ183" s="530"/>
      <c r="BK183" s="530"/>
      <c r="BL183" s="530"/>
      <c r="BM183" s="530"/>
      <c r="BN183" s="530"/>
      <c r="BO183" s="530"/>
      <c r="BP183" s="530"/>
      <c r="BQ183" s="530"/>
      <c r="BR183" s="530"/>
      <c r="BS183" s="530"/>
      <c r="BT183" s="530"/>
      <c r="BU183" s="530"/>
      <c r="BV183" s="530"/>
      <c r="BW183" s="530"/>
      <c r="BX183" s="530"/>
      <c r="BY183" s="530"/>
      <c r="BZ183" s="530"/>
      <c r="CA183" s="530"/>
    </row>
    <row r="184" spans="4:79">
      <c r="D184" t="s">
        <v>417</v>
      </c>
      <c r="E184" s="551">
        <f t="shared" ca="1" si="93"/>
        <v>0</v>
      </c>
      <c r="F184" s="551">
        <f t="shared" ca="1" si="93"/>
        <v>0</v>
      </c>
      <c r="G184" s="551">
        <f t="shared" ca="1" si="92"/>
        <v>0</v>
      </c>
      <c r="H184" s="551">
        <f t="shared" ca="1" si="92"/>
        <v>0</v>
      </c>
      <c r="I184" s="551">
        <f t="shared" ca="1" si="92"/>
        <v>0</v>
      </c>
      <c r="J184" s="551">
        <f t="shared" ca="1" si="92"/>
        <v>0</v>
      </c>
      <c r="K184" s="551">
        <f t="shared" ca="1" si="92"/>
        <v>0</v>
      </c>
      <c r="L184" s="551">
        <f t="shared" ca="1" si="92"/>
        <v>0</v>
      </c>
      <c r="M184" s="551">
        <f t="shared" ca="1" si="92"/>
        <v>0</v>
      </c>
      <c r="N184" s="551">
        <f t="shared" ca="1" si="92"/>
        <v>0</v>
      </c>
      <c r="O184" s="551">
        <f t="shared" ca="1" si="92"/>
        <v>0</v>
      </c>
      <c r="P184" s="551">
        <f t="shared" ca="1" si="92"/>
        <v>0</v>
      </c>
      <c r="Q184" s="551">
        <f t="shared" ca="1" si="92"/>
        <v>0</v>
      </c>
      <c r="R184" s="551">
        <f t="shared" ca="1" si="92"/>
        <v>0</v>
      </c>
      <c r="S184" s="551">
        <f t="shared" ca="1" si="92"/>
        <v>0</v>
      </c>
      <c r="T184" s="551">
        <f t="shared" ca="1" si="92"/>
        <v>0</v>
      </c>
      <c r="U184" s="551">
        <f t="shared" ca="1" si="92"/>
        <v>0</v>
      </c>
      <c r="V184" s="551">
        <f t="shared" ca="1" si="92"/>
        <v>0</v>
      </c>
      <c r="W184" s="551">
        <f t="shared" ca="1" si="92"/>
        <v>0</v>
      </c>
      <c r="X184" s="551">
        <f t="shared" ca="1" si="92"/>
        <v>0</v>
      </c>
      <c r="Y184" s="551">
        <f t="shared" ca="1" si="92"/>
        <v>0</v>
      </c>
      <c r="AC184" s="530"/>
      <c r="AD184" s="530"/>
      <c r="AE184" s="530"/>
      <c r="AF184" s="530"/>
      <c r="AG184" s="530"/>
      <c r="AH184" s="530"/>
      <c r="AI184" s="530"/>
      <c r="AJ184" s="530"/>
      <c r="AK184" s="530"/>
      <c r="AL184" s="530"/>
      <c r="AM184" s="530"/>
      <c r="AN184" s="530"/>
      <c r="AO184" s="530"/>
      <c r="AP184" s="530"/>
      <c r="AQ184" s="530"/>
      <c r="AR184" s="530"/>
      <c r="AS184" s="530"/>
      <c r="AT184" s="530"/>
      <c r="AU184" s="530"/>
      <c r="AV184" s="530"/>
      <c r="AW184" s="530"/>
      <c r="AX184" s="530"/>
      <c r="AY184" s="530"/>
      <c r="AZ184" s="530"/>
      <c r="BA184" s="530"/>
      <c r="BB184" s="530"/>
      <c r="BC184" s="530"/>
      <c r="BD184" s="530"/>
      <c r="BE184" s="530"/>
      <c r="BF184" s="530"/>
      <c r="BG184" s="530"/>
      <c r="BH184" s="530"/>
      <c r="BI184" s="530"/>
      <c r="BJ184" s="530"/>
      <c r="BK184" s="530"/>
      <c r="BL184" s="530"/>
      <c r="BM184" s="530"/>
      <c r="BN184" s="530"/>
      <c r="BO184" s="530"/>
      <c r="BP184" s="530"/>
      <c r="BQ184" s="530"/>
      <c r="BR184" s="530"/>
      <c r="BS184" s="530"/>
      <c r="BT184" s="530"/>
      <c r="BU184" s="530"/>
      <c r="BV184" s="530"/>
      <c r="BW184" s="530"/>
      <c r="BX184" s="530"/>
      <c r="BY184" s="530"/>
      <c r="BZ184" s="530"/>
      <c r="CA184" s="530"/>
    </row>
    <row r="185" spans="4:79">
      <c r="D185" t="s">
        <v>420</v>
      </c>
      <c r="E185" s="551">
        <f t="shared" ca="1" si="93"/>
        <v>0</v>
      </c>
      <c r="F185" s="551">
        <f t="shared" ca="1" si="93"/>
        <v>0</v>
      </c>
      <c r="G185" s="551">
        <f t="shared" ca="1" si="92"/>
        <v>0</v>
      </c>
      <c r="H185" s="551">
        <f t="shared" ca="1" si="92"/>
        <v>0</v>
      </c>
      <c r="I185" s="551">
        <f t="shared" ca="1" si="92"/>
        <v>0</v>
      </c>
      <c r="J185" s="551">
        <f t="shared" ca="1" si="92"/>
        <v>0</v>
      </c>
      <c r="K185" s="551">
        <f t="shared" ca="1" si="92"/>
        <v>0</v>
      </c>
      <c r="L185" s="551">
        <f t="shared" ca="1" si="92"/>
        <v>0</v>
      </c>
      <c r="M185" s="551">
        <f t="shared" ca="1" si="92"/>
        <v>0</v>
      </c>
      <c r="N185" s="551">
        <f t="shared" ca="1" si="92"/>
        <v>0</v>
      </c>
      <c r="O185" s="551">
        <f t="shared" ca="1" si="92"/>
        <v>0</v>
      </c>
      <c r="P185" s="551">
        <f t="shared" ca="1" si="92"/>
        <v>0</v>
      </c>
      <c r="Q185" s="551">
        <f t="shared" ca="1" si="92"/>
        <v>0</v>
      </c>
      <c r="R185" s="551">
        <f t="shared" ca="1" si="92"/>
        <v>0</v>
      </c>
      <c r="S185" s="551">
        <f t="shared" ca="1" si="92"/>
        <v>0</v>
      </c>
      <c r="T185" s="551">
        <f t="shared" ca="1" si="92"/>
        <v>0</v>
      </c>
      <c r="U185" s="551">
        <f t="shared" ca="1" si="92"/>
        <v>0</v>
      </c>
      <c r="V185" s="551">
        <f t="shared" ca="1" si="92"/>
        <v>0</v>
      </c>
      <c r="W185" s="551">
        <f t="shared" ca="1" si="92"/>
        <v>0</v>
      </c>
      <c r="X185" s="551">
        <f t="shared" ca="1" si="92"/>
        <v>0</v>
      </c>
      <c r="Y185" s="551">
        <f t="shared" ca="1" si="92"/>
        <v>0</v>
      </c>
      <c r="AC185" s="530"/>
      <c r="AD185" s="530"/>
      <c r="AE185" s="530"/>
      <c r="AF185" s="530"/>
      <c r="AG185" s="530"/>
      <c r="AH185" s="530"/>
      <c r="AI185" s="530"/>
      <c r="AJ185" s="530"/>
      <c r="AK185" s="530"/>
      <c r="AL185" s="530"/>
      <c r="AM185" s="530"/>
      <c r="AN185" s="530"/>
      <c r="AO185" s="530"/>
      <c r="AP185" s="530"/>
      <c r="AQ185" s="530"/>
      <c r="AR185" s="530"/>
      <c r="AS185" s="530"/>
      <c r="AT185" s="530"/>
      <c r="AU185" s="530"/>
      <c r="AV185" s="530"/>
      <c r="AW185" s="530"/>
      <c r="AX185" s="530"/>
      <c r="AY185" s="530"/>
      <c r="AZ185" s="530"/>
      <c r="BA185" s="530"/>
      <c r="BB185" s="530"/>
      <c r="BC185" s="530"/>
      <c r="BD185" s="530"/>
      <c r="BE185" s="530"/>
      <c r="BF185" s="530"/>
      <c r="BG185" s="530"/>
      <c r="BH185" s="530"/>
      <c r="BI185" s="530"/>
      <c r="BJ185" s="530"/>
      <c r="BK185" s="530"/>
      <c r="BL185" s="530"/>
      <c r="BM185" s="530"/>
      <c r="BN185" s="530"/>
      <c r="BO185" s="530"/>
      <c r="BP185" s="530"/>
      <c r="BQ185" s="530"/>
      <c r="BR185" s="530"/>
      <c r="BS185" s="530"/>
      <c r="BT185" s="530"/>
      <c r="BU185" s="530"/>
      <c r="BV185" s="530"/>
      <c r="BW185" s="530"/>
      <c r="BX185" s="530"/>
      <c r="BY185" s="530"/>
      <c r="BZ185" s="530"/>
      <c r="CA185" s="530"/>
    </row>
    <row r="186" spans="4:79">
      <c r="D186" t="s">
        <v>423</v>
      </c>
      <c r="E186" s="551">
        <f t="shared" ca="1" si="93"/>
        <v>0</v>
      </c>
      <c r="F186" s="551">
        <f t="shared" ca="1" si="93"/>
        <v>0</v>
      </c>
      <c r="G186" s="551">
        <f t="shared" ca="1" si="92"/>
        <v>0</v>
      </c>
      <c r="H186" s="551">
        <f t="shared" ca="1" si="92"/>
        <v>0</v>
      </c>
      <c r="I186" s="551">
        <f t="shared" ca="1" si="92"/>
        <v>0</v>
      </c>
      <c r="J186" s="551">
        <f t="shared" ca="1" si="92"/>
        <v>0</v>
      </c>
      <c r="K186" s="551">
        <f t="shared" ca="1" si="92"/>
        <v>0</v>
      </c>
      <c r="L186" s="551">
        <f t="shared" ca="1" si="92"/>
        <v>0</v>
      </c>
      <c r="M186" s="551">
        <f t="shared" ca="1" si="92"/>
        <v>0</v>
      </c>
      <c r="N186" s="551">
        <f t="shared" ca="1" si="92"/>
        <v>0</v>
      </c>
      <c r="O186" s="551">
        <f t="shared" ca="1" si="92"/>
        <v>0</v>
      </c>
      <c r="P186" s="551">
        <f t="shared" ca="1" si="92"/>
        <v>0</v>
      </c>
      <c r="Q186" s="551">
        <f t="shared" ca="1" si="92"/>
        <v>0</v>
      </c>
      <c r="R186" s="551">
        <f t="shared" ca="1" si="92"/>
        <v>0</v>
      </c>
      <c r="S186" s="551">
        <f t="shared" ca="1" si="92"/>
        <v>0</v>
      </c>
      <c r="T186" s="551">
        <f t="shared" ca="1" si="92"/>
        <v>0</v>
      </c>
      <c r="U186" s="551">
        <f t="shared" ca="1" si="92"/>
        <v>0</v>
      </c>
      <c r="V186" s="551">
        <f t="shared" ca="1" si="92"/>
        <v>0</v>
      </c>
      <c r="W186" s="551">
        <f t="shared" ca="1" si="92"/>
        <v>0</v>
      </c>
      <c r="X186" s="551">
        <f t="shared" ca="1" si="92"/>
        <v>0</v>
      </c>
      <c r="Y186" s="551">
        <f t="shared" ca="1" si="92"/>
        <v>0</v>
      </c>
      <c r="AC186" s="530"/>
      <c r="AD186" s="530"/>
      <c r="AE186" s="530"/>
      <c r="AF186" s="530"/>
      <c r="AG186" s="530"/>
      <c r="AH186" s="530"/>
      <c r="AI186" s="530"/>
      <c r="AJ186" s="530"/>
      <c r="AK186" s="530"/>
      <c r="AL186" s="530"/>
      <c r="AM186" s="530"/>
      <c r="AN186" s="530"/>
      <c r="AO186" s="530"/>
      <c r="AP186" s="530"/>
      <c r="AQ186" s="530"/>
      <c r="AR186" s="530"/>
      <c r="AS186" s="530"/>
      <c r="AT186" s="530"/>
      <c r="AU186" s="530"/>
      <c r="AV186" s="530"/>
      <c r="AW186" s="530"/>
      <c r="AX186" s="530"/>
      <c r="AY186" s="530"/>
      <c r="AZ186" s="530"/>
      <c r="BA186" s="530"/>
      <c r="BB186" s="530"/>
      <c r="BC186" s="530"/>
      <c r="BD186" s="530"/>
      <c r="BE186" s="530"/>
      <c r="BF186" s="530"/>
      <c r="BG186" s="530"/>
      <c r="BH186" s="530"/>
      <c r="BI186" s="530"/>
      <c r="BJ186" s="530"/>
      <c r="BK186" s="530"/>
      <c r="BL186" s="530"/>
      <c r="BM186" s="530"/>
      <c r="BN186" s="530"/>
      <c r="BO186" s="530"/>
      <c r="BP186" s="530"/>
      <c r="BQ186" s="530"/>
      <c r="BR186" s="530"/>
      <c r="BS186" s="530"/>
      <c r="BT186" s="530"/>
      <c r="BU186" s="530"/>
      <c r="BV186" s="530"/>
      <c r="BW186" s="530"/>
      <c r="BX186" s="530"/>
      <c r="BY186" s="530"/>
      <c r="BZ186" s="530"/>
      <c r="CA186" s="530"/>
    </row>
    <row r="187" spans="4:79">
      <c r="D187" t="s">
        <v>426</v>
      </c>
      <c r="E187" s="551">
        <f t="shared" ca="1" si="93"/>
        <v>0</v>
      </c>
      <c r="F187" s="551">
        <f t="shared" ca="1" si="93"/>
        <v>0</v>
      </c>
      <c r="G187" s="551">
        <f t="shared" ca="1" si="92"/>
        <v>0</v>
      </c>
      <c r="H187" s="551">
        <f t="shared" ca="1" si="92"/>
        <v>0</v>
      </c>
      <c r="I187" s="551">
        <f t="shared" ca="1" si="92"/>
        <v>0</v>
      </c>
      <c r="J187" s="551">
        <f t="shared" ca="1" si="92"/>
        <v>0</v>
      </c>
      <c r="K187" s="551">
        <f t="shared" ca="1" si="92"/>
        <v>0</v>
      </c>
      <c r="L187" s="551">
        <f t="shared" ca="1" si="92"/>
        <v>0</v>
      </c>
      <c r="M187" s="551">
        <f t="shared" ca="1" si="92"/>
        <v>0</v>
      </c>
      <c r="N187" s="551">
        <f t="shared" ca="1" si="92"/>
        <v>0</v>
      </c>
      <c r="O187" s="551">
        <f t="shared" ca="1" si="92"/>
        <v>0</v>
      </c>
      <c r="P187" s="551">
        <f t="shared" ca="1" si="92"/>
        <v>0</v>
      </c>
      <c r="Q187" s="551">
        <f t="shared" ca="1" si="92"/>
        <v>0</v>
      </c>
      <c r="R187" s="551">
        <f t="shared" ca="1" si="92"/>
        <v>0</v>
      </c>
      <c r="S187" s="551">
        <f t="shared" ca="1" si="92"/>
        <v>0</v>
      </c>
      <c r="T187" s="551">
        <f t="shared" ca="1" si="92"/>
        <v>0</v>
      </c>
      <c r="U187" s="551">
        <f t="shared" ca="1" si="92"/>
        <v>0</v>
      </c>
      <c r="V187" s="551">
        <f t="shared" ca="1" si="92"/>
        <v>0</v>
      </c>
      <c r="W187" s="551">
        <f t="shared" ca="1" si="92"/>
        <v>0</v>
      </c>
      <c r="X187" s="551">
        <f t="shared" ca="1" si="92"/>
        <v>0</v>
      </c>
      <c r="Y187" s="551">
        <f t="shared" ca="1" si="92"/>
        <v>0</v>
      </c>
      <c r="AC187" s="530"/>
      <c r="AD187" s="530"/>
      <c r="AE187" s="530"/>
      <c r="AF187" s="530"/>
      <c r="AG187" s="530"/>
      <c r="AH187" s="530"/>
      <c r="AI187" s="530"/>
      <c r="AJ187" s="530"/>
      <c r="AK187" s="530"/>
      <c r="AL187" s="530"/>
      <c r="AM187" s="530"/>
      <c r="AN187" s="530"/>
      <c r="AO187" s="530"/>
      <c r="AP187" s="530"/>
      <c r="AQ187" s="530"/>
      <c r="AR187" s="530"/>
      <c r="AS187" s="530"/>
      <c r="AT187" s="530"/>
      <c r="AU187" s="530"/>
      <c r="AV187" s="530"/>
      <c r="AW187" s="530"/>
      <c r="AX187" s="530"/>
      <c r="AY187" s="530"/>
      <c r="AZ187" s="530"/>
      <c r="BA187" s="530"/>
      <c r="BB187" s="530"/>
      <c r="BC187" s="530"/>
      <c r="BD187" s="530"/>
      <c r="BE187" s="530"/>
      <c r="BF187" s="530"/>
      <c r="BG187" s="530"/>
      <c r="BH187" s="530"/>
      <c r="BI187" s="530"/>
      <c r="BJ187" s="530"/>
      <c r="BK187" s="530"/>
      <c r="BL187" s="530"/>
      <c r="BM187" s="530"/>
      <c r="BN187" s="530"/>
      <c r="BO187" s="530"/>
      <c r="BP187" s="530"/>
      <c r="BQ187" s="530"/>
      <c r="BR187" s="530"/>
      <c r="BS187" s="530"/>
      <c r="BT187" s="530"/>
      <c r="BU187" s="530"/>
      <c r="BV187" s="530"/>
      <c r="BW187" s="530"/>
      <c r="BX187" s="530"/>
      <c r="BY187" s="530"/>
      <c r="BZ187" s="530"/>
      <c r="CA187" s="530"/>
    </row>
    <row r="188" spans="4:79">
      <c r="D188" t="s">
        <v>429</v>
      </c>
      <c r="E188" s="551">
        <f t="shared" ca="1" si="93"/>
        <v>0</v>
      </c>
      <c r="F188" s="551">
        <f t="shared" ca="1" si="93"/>
        <v>0</v>
      </c>
      <c r="G188" s="551">
        <f t="shared" ca="1" si="92"/>
        <v>0</v>
      </c>
      <c r="H188" s="551">
        <f t="shared" ca="1" si="92"/>
        <v>0</v>
      </c>
      <c r="I188" s="551">
        <f t="shared" ca="1" si="92"/>
        <v>0</v>
      </c>
      <c r="J188" s="551">
        <f t="shared" ca="1" si="92"/>
        <v>0</v>
      </c>
      <c r="K188" s="551">
        <f t="shared" ca="1" si="92"/>
        <v>0</v>
      </c>
      <c r="L188" s="551">
        <f t="shared" ca="1" si="92"/>
        <v>0</v>
      </c>
      <c r="M188" s="551">
        <f t="shared" ca="1" si="92"/>
        <v>0</v>
      </c>
      <c r="N188" s="551">
        <f t="shared" ca="1" si="92"/>
        <v>0</v>
      </c>
      <c r="O188" s="551">
        <f t="shared" ca="1" si="92"/>
        <v>0</v>
      </c>
      <c r="P188" s="551">
        <f t="shared" ca="1" si="92"/>
        <v>0</v>
      </c>
      <c r="Q188" s="551">
        <f t="shared" ca="1" si="92"/>
        <v>0</v>
      </c>
      <c r="R188" s="551">
        <f t="shared" ca="1" si="92"/>
        <v>0</v>
      </c>
      <c r="S188" s="551">
        <f t="shared" ca="1" si="92"/>
        <v>0</v>
      </c>
      <c r="T188" s="551">
        <f t="shared" ca="1" si="92"/>
        <v>0</v>
      </c>
      <c r="U188" s="551">
        <f t="shared" ca="1" si="92"/>
        <v>0</v>
      </c>
      <c r="V188" s="551">
        <f t="shared" ca="1" si="92"/>
        <v>0</v>
      </c>
      <c r="W188" s="551">
        <f t="shared" ca="1" si="92"/>
        <v>0</v>
      </c>
      <c r="X188" s="551">
        <f t="shared" ca="1" si="92"/>
        <v>0</v>
      </c>
      <c r="Y188" s="551">
        <f t="shared" ca="1" si="92"/>
        <v>0</v>
      </c>
      <c r="AC188" s="530"/>
      <c r="AD188" s="530"/>
      <c r="AE188" s="530"/>
      <c r="AF188" s="530"/>
      <c r="AG188" s="530"/>
      <c r="AH188" s="530"/>
      <c r="AI188" s="530"/>
      <c r="AJ188" s="530"/>
      <c r="AK188" s="530"/>
      <c r="AL188" s="530"/>
      <c r="AM188" s="530"/>
      <c r="AN188" s="530"/>
      <c r="AO188" s="530"/>
      <c r="AP188" s="530"/>
      <c r="AQ188" s="530"/>
      <c r="AR188" s="530"/>
      <c r="AS188" s="530"/>
      <c r="AT188" s="530"/>
      <c r="AU188" s="530"/>
      <c r="AV188" s="530"/>
      <c r="AW188" s="530"/>
      <c r="AX188" s="530"/>
      <c r="AY188" s="530"/>
      <c r="AZ188" s="530"/>
      <c r="BA188" s="530"/>
      <c r="BB188" s="530"/>
      <c r="BC188" s="530"/>
      <c r="BD188" s="530"/>
      <c r="BE188" s="530"/>
      <c r="BF188" s="530"/>
      <c r="BG188" s="530"/>
      <c r="BH188" s="530"/>
      <c r="BI188" s="530"/>
      <c r="BJ188" s="530"/>
      <c r="BK188" s="530"/>
      <c r="BL188" s="530"/>
      <c r="BM188" s="530"/>
      <c r="BN188" s="530"/>
      <c r="BO188" s="530"/>
      <c r="BP188" s="530"/>
      <c r="BQ188" s="530"/>
      <c r="BR188" s="530"/>
      <c r="BS188" s="530"/>
      <c r="BT188" s="530"/>
      <c r="BU188" s="530"/>
      <c r="BV188" s="530"/>
      <c r="BW188" s="530"/>
      <c r="BX188" s="530"/>
      <c r="BY188" s="530"/>
      <c r="BZ188" s="530"/>
      <c r="CA188" s="530"/>
    </row>
    <row r="189" spans="4:79">
      <c r="D189" t="s">
        <v>432</v>
      </c>
      <c r="E189" s="551">
        <f t="shared" ca="1" si="93"/>
        <v>0</v>
      </c>
      <c r="F189" s="551">
        <f t="shared" ca="1" si="93"/>
        <v>0</v>
      </c>
      <c r="G189" s="551">
        <f t="shared" ca="1" si="92"/>
        <v>0</v>
      </c>
      <c r="H189" s="551">
        <f t="shared" ca="1" si="92"/>
        <v>0</v>
      </c>
      <c r="I189" s="551">
        <f t="shared" ca="1" si="92"/>
        <v>0</v>
      </c>
      <c r="J189" s="551">
        <f t="shared" ca="1" si="92"/>
        <v>0</v>
      </c>
      <c r="K189" s="551">
        <f t="shared" ca="1" si="92"/>
        <v>0</v>
      </c>
      <c r="L189" s="551">
        <f t="shared" ca="1" si="92"/>
        <v>0</v>
      </c>
      <c r="M189" s="551">
        <f t="shared" ca="1" si="92"/>
        <v>0</v>
      </c>
      <c r="N189" s="551">
        <f t="shared" ca="1" si="92"/>
        <v>0</v>
      </c>
      <c r="O189" s="551">
        <f t="shared" ca="1" si="92"/>
        <v>0</v>
      </c>
      <c r="P189" s="551">
        <f t="shared" ref="P189:Y192" ca="1" si="94">P152-P151</f>
        <v>0</v>
      </c>
      <c r="Q189" s="551">
        <f t="shared" ca="1" si="94"/>
        <v>0</v>
      </c>
      <c r="R189" s="551">
        <f t="shared" ca="1" si="94"/>
        <v>0</v>
      </c>
      <c r="S189" s="551">
        <f t="shared" ca="1" si="94"/>
        <v>0</v>
      </c>
      <c r="T189" s="551">
        <f t="shared" ca="1" si="94"/>
        <v>0</v>
      </c>
      <c r="U189" s="551">
        <f t="shared" ca="1" si="94"/>
        <v>0</v>
      </c>
      <c r="V189" s="551">
        <f t="shared" ca="1" si="94"/>
        <v>0</v>
      </c>
      <c r="W189" s="551">
        <f t="shared" ca="1" si="94"/>
        <v>0</v>
      </c>
      <c r="X189" s="551">
        <f t="shared" ca="1" si="94"/>
        <v>0</v>
      </c>
      <c r="Y189" s="551">
        <f t="shared" ca="1" si="94"/>
        <v>0</v>
      </c>
      <c r="AC189" s="530"/>
      <c r="AD189" s="530"/>
      <c r="AE189" s="530"/>
      <c r="AF189" s="530"/>
      <c r="AG189" s="530"/>
      <c r="AH189" s="530"/>
      <c r="AI189" s="530"/>
      <c r="AJ189" s="530"/>
      <c r="AK189" s="530"/>
      <c r="AL189" s="530"/>
      <c r="AM189" s="530"/>
      <c r="AN189" s="530"/>
      <c r="AO189" s="530"/>
      <c r="AP189" s="530"/>
      <c r="AQ189" s="530"/>
      <c r="AR189" s="530"/>
      <c r="AS189" s="530"/>
      <c r="AT189" s="530"/>
      <c r="AU189" s="530"/>
      <c r="AV189" s="530"/>
      <c r="AW189" s="530"/>
      <c r="AX189" s="530"/>
      <c r="AY189" s="530"/>
      <c r="AZ189" s="530"/>
      <c r="BA189" s="530"/>
      <c r="BB189" s="530"/>
      <c r="BC189" s="530"/>
      <c r="BD189" s="530"/>
      <c r="BE189" s="530"/>
      <c r="BF189" s="530"/>
      <c r="BG189" s="530"/>
      <c r="BH189" s="530"/>
      <c r="BI189" s="530"/>
      <c r="BJ189" s="530"/>
      <c r="BK189" s="530"/>
      <c r="BL189" s="530"/>
      <c r="BM189" s="530"/>
      <c r="BN189" s="530"/>
      <c r="BO189" s="530"/>
      <c r="BP189" s="530"/>
      <c r="BQ189" s="530"/>
      <c r="BR189" s="530"/>
      <c r="BS189" s="530"/>
      <c r="BT189" s="530"/>
      <c r="BU189" s="530"/>
      <c r="BV189" s="530"/>
      <c r="BW189" s="530"/>
      <c r="BX189" s="530"/>
      <c r="BY189" s="530"/>
      <c r="BZ189" s="530"/>
      <c r="CA189" s="530"/>
    </row>
    <row r="190" spans="4:79">
      <c r="D190" t="s">
        <v>435</v>
      </c>
      <c r="E190" s="551">
        <f t="shared" ca="1" si="93"/>
        <v>0</v>
      </c>
      <c r="F190" s="551">
        <f t="shared" ca="1" si="93"/>
        <v>0</v>
      </c>
      <c r="G190" s="551">
        <f t="shared" ca="1" si="93"/>
        <v>0</v>
      </c>
      <c r="H190" s="551">
        <f t="shared" ca="1" si="93"/>
        <v>0</v>
      </c>
      <c r="I190" s="551">
        <f t="shared" ca="1" si="93"/>
        <v>0</v>
      </c>
      <c r="J190" s="551">
        <f t="shared" ca="1" si="93"/>
        <v>0</v>
      </c>
      <c r="K190" s="551">
        <f t="shared" ca="1" si="93"/>
        <v>0</v>
      </c>
      <c r="L190" s="551">
        <f t="shared" ca="1" si="93"/>
        <v>0</v>
      </c>
      <c r="M190" s="551">
        <f t="shared" ca="1" si="93"/>
        <v>0</v>
      </c>
      <c r="N190" s="551">
        <f t="shared" ca="1" si="93"/>
        <v>0</v>
      </c>
      <c r="O190" s="551">
        <f t="shared" ca="1" si="93"/>
        <v>0</v>
      </c>
      <c r="P190" s="551">
        <f t="shared" ca="1" si="93"/>
        <v>0</v>
      </c>
      <c r="Q190" s="551">
        <f t="shared" ca="1" si="93"/>
        <v>0</v>
      </c>
      <c r="R190" s="551">
        <f t="shared" ca="1" si="93"/>
        <v>0</v>
      </c>
      <c r="S190" s="551">
        <f t="shared" ca="1" si="93"/>
        <v>0</v>
      </c>
      <c r="T190" s="551">
        <f t="shared" ca="1" si="93"/>
        <v>0</v>
      </c>
      <c r="U190" s="551">
        <f t="shared" ca="1" si="94"/>
        <v>0</v>
      </c>
      <c r="V190" s="551">
        <f t="shared" ca="1" si="94"/>
        <v>0</v>
      </c>
      <c r="W190" s="551">
        <f t="shared" ca="1" si="94"/>
        <v>0</v>
      </c>
      <c r="X190" s="551">
        <f t="shared" ca="1" si="94"/>
        <v>0</v>
      </c>
      <c r="Y190" s="551">
        <f t="shared" ca="1" si="94"/>
        <v>0</v>
      </c>
      <c r="AC190" s="530"/>
      <c r="AD190" s="530"/>
      <c r="AE190" s="530"/>
      <c r="AF190" s="530"/>
      <c r="AG190" s="530"/>
      <c r="AH190" s="530"/>
      <c r="AI190" s="530"/>
      <c r="AJ190" s="530"/>
      <c r="AK190" s="530"/>
      <c r="AL190" s="530"/>
      <c r="AM190" s="530"/>
      <c r="AN190" s="530"/>
      <c r="AO190" s="530"/>
      <c r="AP190" s="530"/>
      <c r="AQ190" s="530"/>
      <c r="AR190" s="530"/>
      <c r="AS190" s="530"/>
      <c r="AT190" s="530"/>
      <c r="AU190" s="530"/>
      <c r="AV190" s="530"/>
      <c r="AW190" s="530"/>
      <c r="AX190" s="530"/>
      <c r="AY190" s="530"/>
      <c r="AZ190" s="530"/>
      <c r="BA190" s="530"/>
      <c r="BB190" s="530"/>
      <c r="BC190" s="530"/>
      <c r="BD190" s="530"/>
      <c r="BE190" s="530"/>
      <c r="BF190" s="530"/>
      <c r="BG190" s="530"/>
      <c r="BH190" s="530"/>
      <c r="BI190" s="530"/>
      <c r="BJ190" s="530"/>
      <c r="BK190" s="530"/>
      <c r="BL190" s="530"/>
      <c r="BM190" s="530"/>
      <c r="BN190" s="530"/>
      <c r="BO190" s="530"/>
      <c r="BP190" s="530"/>
      <c r="BQ190" s="530"/>
      <c r="BR190" s="530"/>
      <c r="BS190" s="530"/>
      <c r="BT190" s="530"/>
      <c r="BU190" s="530"/>
      <c r="BV190" s="530"/>
      <c r="BW190" s="530"/>
      <c r="BX190" s="530"/>
      <c r="BY190" s="530"/>
      <c r="BZ190" s="530"/>
      <c r="CA190" s="530"/>
    </row>
    <row r="191" spans="4:79">
      <c r="D191" t="s">
        <v>438</v>
      </c>
      <c r="E191" s="551">
        <f t="shared" ca="1" si="93"/>
        <v>0</v>
      </c>
      <c r="F191" s="551">
        <f t="shared" ca="1" si="93"/>
        <v>0</v>
      </c>
      <c r="G191" s="551">
        <f t="shared" ca="1" si="93"/>
        <v>0</v>
      </c>
      <c r="H191" s="551">
        <f t="shared" ca="1" si="93"/>
        <v>0</v>
      </c>
      <c r="I191" s="551">
        <f t="shared" ca="1" si="93"/>
        <v>0</v>
      </c>
      <c r="J191" s="551">
        <f t="shared" ca="1" si="93"/>
        <v>0</v>
      </c>
      <c r="K191" s="551">
        <f t="shared" ca="1" si="93"/>
        <v>0</v>
      </c>
      <c r="L191" s="551">
        <f t="shared" ca="1" si="93"/>
        <v>0</v>
      </c>
      <c r="M191" s="551">
        <f t="shared" ca="1" si="93"/>
        <v>0</v>
      </c>
      <c r="N191" s="551">
        <f t="shared" ca="1" si="93"/>
        <v>0</v>
      </c>
      <c r="O191" s="551">
        <f t="shared" ca="1" si="93"/>
        <v>0</v>
      </c>
      <c r="P191" s="551">
        <f t="shared" ca="1" si="93"/>
        <v>0</v>
      </c>
      <c r="Q191" s="551">
        <f t="shared" ca="1" si="93"/>
        <v>0</v>
      </c>
      <c r="R191" s="551">
        <f t="shared" ca="1" si="93"/>
        <v>0</v>
      </c>
      <c r="S191" s="551">
        <f t="shared" ca="1" si="93"/>
        <v>0</v>
      </c>
      <c r="T191" s="551">
        <f t="shared" ca="1" si="93"/>
        <v>0</v>
      </c>
      <c r="U191" s="551">
        <f t="shared" ca="1" si="94"/>
        <v>0</v>
      </c>
      <c r="V191" s="551">
        <f t="shared" ca="1" si="94"/>
        <v>0</v>
      </c>
      <c r="W191" s="551">
        <f t="shared" ca="1" si="94"/>
        <v>0</v>
      </c>
      <c r="X191" s="551">
        <f t="shared" ca="1" si="94"/>
        <v>0</v>
      </c>
      <c r="Y191" s="551">
        <f t="shared" ca="1" si="94"/>
        <v>0</v>
      </c>
      <c r="AC191" s="530"/>
      <c r="AD191" s="530"/>
      <c r="AE191" s="530"/>
      <c r="AF191" s="530"/>
      <c r="AG191" s="530"/>
      <c r="AH191" s="530"/>
      <c r="AI191" s="530"/>
      <c r="AJ191" s="530"/>
      <c r="AK191" s="530"/>
      <c r="AL191" s="530"/>
      <c r="AM191" s="530"/>
      <c r="AN191" s="530"/>
      <c r="AO191" s="530"/>
      <c r="AP191" s="530"/>
      <c r="AQ191" s="530"/>
      <c r="AR191" s="530"/>
      <c r="AS191" s="530"/>
      <c r="AT191" s="530"/>
      <c r="AU191" s="530"/>
      <c r="AV191" s="530"/>
      <c r="AW191" s="530"/>
      <c r="AX191" s="530"/>
      <c r="AY191" s="530"/>
      <c r="AZ191" s="530"/>
      <c r="BA191" s="530"/>
      <c r="BB191" s="530"/>
      <c r="BC191" s="530"/>
      <c r="BD191" s="530"/>
      <c r="BE191" s="530"/>
      <c r="BF191" s="530"/>
      <c r="BG191" s="530"/>
      <c r="BH191" s="530"/>
      <c r="BI191" s="530"/>
      <c r="BJ191" s="530"/>
      <c r="BK191" s="530"/>
      <c r="BL191" s="530"/>
      <c r="BM191" s="530"/>
      <c r="BN191" s="530"/>
      <c r="BO191" s="530"/>
      <c r="BP191" s="530"/>
      <c r="BQ191" s="530"/>
      <c r="BR191" s="530"/>
      <c r="BS191" s="530"/>
      <c r="BT191" s="530"/>
      <c r="BU191" s="530"/>
      <c r="BV191" s="530"/>
      <c r="BW191" s="530"/>
      <c r="BX191" s="530"/>
      <c r="BY191" s="530"/>
      <c r="BZ191" s="530"/>
      <c r="CA191" s="530"/>
    </row>
    <row r="192" spans="4:79">
      <c r="D192" t="s">
        <v>441</v>
      </c>
      <c r="E192" s="551">
        <f t="shared" ca="1" si="93"/>
        <v>0</v>
      </c>
      <c r="F192" s="551">
        <f t="shared" ca="1" si="93"/>
        <v>0</v>
      </c>
      <c r="G192" s="551">
        <f t="shared" ca="1" si="93"/>
        <v>0</v>
      </c>
      <c r="H192" s="551">
        <f t="shared" ca="1" si="93"/>
        <v>0</v>
      </c>
      <c r="I192" s="551">
        <f t="shared" ca="1" si="93"/>
        <v>0</v>
      </c>
      <c r="J192" s="551">
        <f t="shared" ca="1" si="93"/>
        <v>0</v>
      </c>
      <c r="K192" s="551">
        <f t="shared" ca="1" si="93"/>
        <v>0</v>
      </c>
      <c r="L192" s="551">
        <f t="shared" ca="1" si="93"/>
        <v>0</v>
      </c>
      <c r="M192" s="551">
        <f t="shared" ca="1" si="93"/>
        <v>0</v>
      </c>
      <c r="N192" s="551">
        <f t="shared" ca="1" si="93"/>
        <v>0</v>
      </c>
      <c r="O192" s="551">
        <f t="shared" ca="1" si="93"/>
        <v>0</v>
      </c>
      <c r="P192" s="551">
        <f t="shared" ca="1" si="93"/>
        <v>0</v>
      </c>
      <c r="Q192" s="551">
        <f t="shared" ca="1" si="93"/>
        <v>0</v>
      </c>
      <c r="R192" s="551">
        <f t="shared" ca="1" si="93"/>
        <v>0</v>
      </c>
      <c r="S192" s="551">
        <f t="shared" ca="1" si="93"/>
        <v>0</v>
      </c>
      <c r="T192" s="551">
        <f t="shared" ca="1" si="93"/>
        <v>0</v>
      </c>
      <c r="U192" s="551">
        <f t="shared" ca="1" si="94"/>
        <v>0</v>
      </c>
      <c r="V192" s="551">
        <f t="shared" ca="1" si="94"/>
        <v>0</v>
      </c>
      <c r="W192" s="551">
        <f t="shared" ca="1" si="94"/>
        <v>0</v>
      </c>
      <c r="X192" s="551">
        <f t="shared" ca="1" si="94"/>
        <v>0</v>
      </c>
      <c r="Y192" s="551">
        <f t="shared" ca="1" si="94"/>
        <v>0</v>
      </c>
      <c r="AC192" s="530"/>
      <c r="AD192" s="530"/>
      <c r="AE192" s="530"/>
      <c r="AF192" s="530"/>
      <c r="AG192" s="530"/>
      <c r="AH192" s="530"/>
      <c r="AI192" s="530"/>
      <c r="AJ192" s="530"/>
      <c r="AK192" s="530"/>
      <c r="AL192" s="530"/>
      <c r="AM192" s="530"/>
      <c r="AN192" s="530"/>
      <c r="AO192" s="530"/>
      <c r="AP192" s="530"/>
      <c r="AQ192" s="530"/>
      <c r="AR192" s="530"/>
      <c r="AS192" s="530"/>
      <c r="AT192" s="530"/>
      <c r="AU192" s="530"/>
      <c r="AV192" s="530"/>
      <c r="AW192" s="530"/>
      <c r="AX192" s="530"/>
      <c r="AY192" s="530"/>
      <c r="AZ192" s="530"/>
      <c r="BA192" s="530"/>
      <c r="BB192" s="530"/>
      <c r="BC192" s="530"/>
      <c r="BD192" s="530"/>
      <c r="BE192" s="530"/>
      <c r="BF192" s="530"/>
      <c r="BG192" s="530"/>
      <c r="BH192" s="530"/>
      <c r="BI192" s="530"/>
      <c r="BJ192" s="530"/>
      <c r="BK192" s="530"/>
      <c r="BL192" s="530"/>
      <c r="BM192" s="530"/>
      <c r="BN192" s="530"/>
      <c r="BO192" s="530"/>
      <c r="BP192" s="530"/>
      <c r="BQ192" s="530"/>
      <c r="BR192" s="530"/>
      <c r="BS192" s="530"/>
      <c r="BT192" s="530"/>
      <c r="BU192" s="530"/>
      <c r="BV192" s="530"/>
      <c r="BW192" s="530"/>
      <c r="BX192" s="530"/>
      <c r="BY192" s="530"/>
      <c r="BZ192" s="530"/>
      <c r="CA192" s="530"/>
    </row>
    <row r="193" spans="4:79">
      <c r="D193" t="s">
        <v>444</v>
      </c>
      <c r="E193" s="551">
        <f t="shared" ref="E193:Y205" ca="1" si="95">E156-E155</f>
        <v>0</v>
      </c>
      <c r="F193" s="551">
        <f t="shared" ca="1" si="95"/>
        <v>0</v>
      </c>
      <c r="G193" s="551">
        <f t="shared" ca="1" si="95"/>
        <v>0</v>
      </c>
      <c r="H193" s="551">
        <f t="shared" ca="1" si="95"/>
        <v>0</v>
      </c>
      <c r="I193" s="551">
        <f t="shared" ca="1" si="95"/>
        <v>0</v>
      </c>
      <c r="J193" s="551">
        <f t="shared" ca="1" si="95"/>
        <v>0</v>
      </c>
      <c r="K193" s="551">
        <f t="shared" ca="1" si="95"/>
        <v>0</v>
      </c>
      <c r="L193" s="551">
        <f t="shared" ca="1" si="95"/>
        <v>0</v>
      </c>
      <c r="M193" s="551">
        <f t="shared" ca="1" si="95"/>
        <v>0</v>
      </c>
      <c r="N193" s="551">
        <f t="shared" ca="1" si="95"/>
        <v>0</v>
      </c>
      <c r="O193" s="551">
        <f t="shared" ca="1" si="95"/>
        <v>0</v>
      </c>
      <c r="P193" s="551">
        <f t="shared" ca="1" si="95"/>
        <v>0</v>
      </c>
      <c r="Q193" s="551">
        <f t="shared" ca="1" si="95"/>
        <v>0</v>
      </c>
      <c r="R193" s="551">
        <f t="shared" ca="1" si="95"/>
        <v>0</v>
      </c>
      <c r="S193" s="551">
        <f t="shared" ca="1" si="95"/>
        <v>0</v>
      </c>
      <c r="T193" s="551">
        <f t="shared" ca="1" si="95"/>
        <v>0</v>
      </c>
      <c r="U193" s="551">
        <f t="shared" ca="1" si="95"/>
        <v>0</v>
      </c>
      <c r="V193" s="551">
        <f t="shared" ca="1" si="95"/>
        <v>0</v>
      </c>
      <c r="W193" s="551">
        <f t="shared" ca="1" si="95"/>
        <v>0</v>
      </c>
      <c r="X193" s="551">
        <f t="shared" ca="1" si="95"/>
        <v>0</v>
      </c>
      <c r="Y193" s="551">
        <f t="shared" ca="1" si="95"/>
        <v>0</v>
      </c>
      <c r="AC193" s="530"/>
      <c r="AD193" s="530"/>
      <c r="AE193" s="530"/>
      <c r="AF193" s="530"/>
      <c r="AG193" s="530"/>
      <c r="AH193" s="530"/>
      <c r="AI193" s="530"/>
      <c r="AJ193" s="530"/>
      <c r="AK193" s="530"/>
      <c r="AL193" s="530"/>
      <c r="AM193" s="530"/>
      <c r="AN193" s="530"/>
      <c r="AO193" s="530"/>
      <c r="AP193" s="530"/>
      <c r="AQ193" s="530"/>
      <c r="AR193" s="530"/>
      <c r="AS193" s="530"/>
      <c r="AT193" s="530"/>
      <c r="AU193" s="530"/>
      <c r="AV193" s="530"/>
      <c r="AW193" s="530"/>
      <c r="AX193" s="530"/>
      <c r="AY193" s="530"/>
      <c r="AZ193" s="530"/>
      <c r="BA193" s="530"/>
      <c r="BB193" s="530"/>
      <c r="BC193" s="530"/>
      <c r="BD193" s="530"/>
      <c r="BE193" s="530"/>
      <c r="BF193" s="530"/>
      <c r="BG193" s="530"/>
      <c r="BH193" s="530"/>
      <c r="BI193" s="530"/>
      <c r="BJ193" s="530"/>
      <c r="BK193" s="530"/>
      <c r="BL193" s="530"/>
      <c r="BM193" s="530"/>
      <c r="BN193" s="530"/>
      <c r="BO193" s="530"/>
      <c r="BP193" s="530"/>
      <c r="BQ193" s="530"/>
      <c r="BR193" s="530"/>
      <c r="BS193" s="530"/>
      <c r="BT193" s="530"/>
      <c r="BU193" s="530"/>
      <c r="BV193" s="530"/>
      <c r="BW193" s="530"/>
      <c r="BX193" s="530"/>
      <c r="BY193" s="530"/>
      <c r="BZ193" s="530"/>
      <c r="CA193" s="530"/>
    </row>
    <row r="194" spans="4:79">
      <c r="D194" t="s">
        <v>447</v>
      </c>
      <c r="E194" s="551">
        <f t="shared" ca="1" si="95"/>
        <v>0</v>
      </c>
      <c r="F194" s="551">
        <f t="shared" ca="1" si="95"/>
        <v>0</v>
      </c>
      <c r="G194" s="551">
        <f t="shared" ca="1" si="95"/>
        <v>0</v>
      </c>
      <c r="H194" s="551">
        <f t="shared" ca="1" si="95"/>
        <v>0</v>
      </c>
      <c r="I194" s="551">
        <f t="shared" ca="1" si="95"/>
        <v>0</v>
      </c>
      <c r="J194" s="551">
        <f t="shared" ca="1" si="95"/>
        <v>0</v>
      </c>
      <c r="K194" s="551">
        <f t="shared" ca="1" si="95"/>
        <v>0</v>
      </c>
      <c r="L194" s="551">
        <f t="shared" ca="1" si="95"/>
        <v>0</v>
      </c>
      <c r="M194" s="551">
        <f t="shared" ca="1" si="95"/>
        <v>0</v>
      </c>
      <c r="N194" s="551">
        <f t="shared" ca="1" si="95"/>
        <v>0</v>
      </c>
      <c r="O194" s="551">
        <f t="shared" ca="1" si="95"/>
        <v>0</v>
      </c>
      <c r="P194" s="551">
        <f t="shared" ca="1" si="95"/>
        <v>0</v>
      </c>
      <c r="Q194" s="551">
        <f t="shared" ca="1" si="95"/>
        <v>0</v>
      </c>
      <c r="R194" s="551">
        <f t="shared" ca="1" si="95"/>
        <v>0</v>
      </c>
      <c r="S194" s="551">
        <f t="shared" ca="1" si="95"/>
        <v>0</v>
      </c>
      <c r="T194" s="551">
        <f t="shared" ca="1" si="95"/>
        <v>0</v>
      </c>
      <c r="U194" s="551">
        <f t="shared" ca="1" si="95"/>
        <v>0</v>
      </c>
      <c r="V194" s="551">
        <f t="shared" ca="1" si="95"/>
        <v>0</v>
      </c>
      <c r="W194" s="551">
        <f t="shared" ca="1" si="95"/>
        <v>0</v>
      </c>
      <c r="X194" s="551">
        <f t="shared" ca="1" si="95"/>
        <v>0</v>
      </c>
      <c r="Y194" s="551">
        <f t="shared" ca="1" si="95"/>
        <v>0</v>
      </c>
      <c r="AC194" s="530"/>
      <c r="AD194" s="530"/>
      <c r="AE194" s="530"/>
      <c r="AF194" s="530"/>
      <c r="AG194" s="530"/>
      <c r="AH194" s="530"/>
      <c r="AI194" s="530"/>
      <c r="AJ194" s="530"/>
      <c r="AK194" s="530"/>
      <c r="AL194" s="530"/>
      <c r="AM194" s="530"/>
      <c r="AN194" s="530"/>
      <c r="AO194" s="530"/>
      <c r="AP194" s="530"/>
      <c r="AQ194" s="530"/>
      <c r="AR194" s="530"/>
      <c r="AS194" s="530"/>
      <c r="AT194" s="530"/>
      <c r="AU194" s="530"/>
      <c r="AV194" s="530"/>
      <c r="AW194" s="530"/>
      <c r="AX194" s="530"/>
      <c r="AY194" s="530"/>
      <c r="AZ194" s="530"/>
      <c r="BA194" s="530"/>
      <c r="BB194" s="530"/>
      <c r="BC194" s="530"/>
      <c r="BD194" s="530"/>
      <c r="BE194" s="530"/>
      <c r="BF194" s="530"/>
      <c r="BG194" s="530"/>
      <c r="BH194" s="530"/>
      <c r="BI194" s="530"/>
      <c r="BJ194" s="530"/>
      <c r="BK194" s="530"/>
      <c r="BL194" s="530"/>
      <c r="BM194" s="530"/>
      <c r="BN194" s="530"/>
      <c r="BO194" s="530"/>
      <c r="BP194" s="530"/>
      <c r="BQ194" s="530"/>
      <c r="BR194" s="530"/>
      <c r="BS194" s="530"/>
      <c r="BT194" s="530"/>
      <c r="BU194" s="530"/>
      <c r="BV194" s="530"/>
      <c r="BW194" s="530"/>
      <c r="BX194" s="530"/>
      <c r="BY194" s="530"/>
      <c r="BZ194" s="530"/>
      <c r="CA194" s="530"/>
    </row>
    <row r="195" spans="4:79">
      <c r="D195" t="s">
        <v>450</v>
      </c>
      <c r="E195" s="551">
        <f t="shared" ca="1" si="95"/>
        <v>0</v>
      </c>
      <c r="F195" s="551">
        <f t="shared" ca="1" si="95"/>
        <v>0</v>
      </c>
      <c r="G195" s="551">
        <f t="shared" ca="1" si="95"/>
        <v>0</v>
      </c>
      <c r="H195" s="551">
        <f t="shared" ca="1" si="95"/>
        <v>0</v>
      </c>
      <c r="I195" s="551">
        <f t="shared" ca="1" si="95"/>
        <v>0</v>
      </c>
      <c r="J195" s="551">
        <f t="shared" ca="1" si="95"/>
        <v>0</v>
      </c>
      <c r="K195" s="551">
        <f t="shared" ca="1" si="95"/>
        <v>0</v>
      </c>
      <c r="L195" s="551">
        <f t="shared" ca="1" si="95"/>
        <v>0</v>
      </c>
      <c r="M195" s="551">
        <f t="shared" ca="1" si="95"/>
        <v>0</v>
      </c>
      <c r="N195" s="551">
        <f t="shared" ca="1" si="95"/>
        <v>0</v>
      </c>
      <c r="O195" s="551">
        <f t="shared" ca="1" si="95"/>
        <v>0</v>
      </c>
      <c r="P195" s="551">
        <f t="shared" ca="1" si="95"/>
        <v>0</v>
      </c>
      <c r="Q195" s="551">
        <f t="shared" ca="1" si="95"/>
        <v>0</v>
      </c>
      <c r="R195" s="551">
        <f t="shared" ca="1" si="95"/>
        <v>0</v>
      </c>
      <c r="S195" s="551">
        <f t="shared" ca="1" si="95"/>
        <v>0</v>
      </c>
      <c r="T195" s="551">
        <f t="shared" ca="1" si="95"/>
        <v>0</v>
      </c>
      <c r="U195" s="551">
        <f t="shared" ca="1" si="95"/>
        <v>0</v>
      </c>
      <c r="V195" s="551">
        <f t="shared" ca="1" si="95"/>
        <v>0</v>
      </c>
      <c r="W195" s="551">
        <f t="shared" ca="1" si="95"/>
        <v>0</v>
      </c>
      <c r="X195" s="551">
        <f t="shared" ca="1" si="95"/>
        <v>0</v>
      </c>
      <c r="Y195" s="551">
        <f t="shared" ca="1" si="95"/>
        <v>0</v>
      </c>
      <c r="AC195" s="530"/>
      <c r="AD195" s="530"/>
      <c r="AE195" s="530"/>
      <c r="AF195" s="530"/>
      <c r="AG195" s="530"/>
      <c r="AH195" s="530"/>
      <c r="AI195" s="530"/>
      <c r="AJ195" s="530"/>
      <c r="AK195" s="530"/>
      <c r="AL195" s="530"/>
      <c r="AM195" s="530"/>
      <c r="AN195" s="530"/>
      <c r="AO195" s="530"/>
      <c r="AP195" s="530"/>
      <c r="AQ195" s="530"/>
      <c r="AR195" s="530"/>
      <c r="AS195" s="530"/>
      <c r="AT195" s="530"/>
      <c r="AU195" s="530"/>
      <c r="AV195" s="530"/>
      <c r="AW195" s="530"/>
      <c r="AX195" s="530"/>
      <c r="AY195" s="530"/>
      <c r="AZ195" s="530"/>
      <c r="BA195" s="530"/>
      <c r="BB195" s="530"/>
      <c r="BC195" s="530"/>
      <c r="BD195" s="530"/>
      <c r="BE195" s="530"/>
      <c r="BF195" s="530"/>
      <c r="BG195" s="530"/>
      <c r="BH195" s="530"/>
      <c r="BI195" s="530"/>
      <c r="BJ195" s="530"/>
      <c r="BK195" s="530"/>
      <c r="BL195" s="530"/>
      <c r="BM195" s="530"/>
      <c r="BN195" s="530"/>
      <c r="BO195" s="530"/>
      <c r="BP195" s="530"/>
      <c r="BQ195" s="530"/>
      <c r="BR195" s="530"/>
      <c r="BS195" s="530"/>
      <c r="BT195" s="530"/>
      <c r="BU195" s="530"/>
      <c r="BV195" s="530"/>
      <c r="BW195" s="530"/>
      <c r="BX195" s="530"/>
      <c r="BY195" s="530"/>
      <c r="BZ195" s="530"/>
      <c r="CA195" s="530"/>
    </row>
    <row r="196" spans="4:79">
      <c r="D196" t="s">
        <v>453</v>
      </c>
      <c r="E196" s="551">
        <f t="shared" ca="1" si="95"/>
        <v>0</v>
      </c>
      <c r="F196" s="551">
        <f t="shared" ca="1" si="95"/>
        <v>0</v>
      </c>
      <c r="G196" s="551">
        <f t="shared" ca="1" si="95"/>
        <v>0</v>
      </c>
      <c r="H196" s="551">
        <f t="shared" ca="1" si="95"/>
        <v>0</v>
      </c>
      <c r="I196" s="551">
        <f t="shared" ca="1" si="95"/>
        <v>0</v>
      </c>
      <c r="J196" s="551">
        <f t="shared" ca="1" si="95"/>
        <v>0</v>
      </c>
      <c r="K196" s="551">
        <f t="shared" ca="1" si="95"/>
        <v>0</v>
      </c>
      <c r="L196" s="551">
        <f t="shared" ca="1" si="95"/>
        <v>0</v>
      </c>
      <c r="M196" s="551">
        <f t="shared" ca="1" si="95"/>
        <v>0</v>
      </c>
      <c r="N196" s="551">
        <f t="shared" ca="1" si="95"/>
        <v>0</v>
      </c>
      <c r="O196" s="551">
        <f t="shared" ca="1" si="95"/>
        <v>0</v>
      </c>
      <c r="P196" s="551">
        <f t="shared" ca="1" si="95"/>
        <v>0</v>
      </c>
      <c r="Q196" s="551">
        <f t="shared" ca="1" si="95"/>
        <v>0</v>
      </c>
      <c r="R196" s="551">
        <f t="shared" ca="1" si="95"/>
        <v>0</v>
      </c>
      <c r="S196" s="551">
        <f t="shared" ca="1" si="95"/>
        <v>0</v>
      </c>
      <c r="T196" s="551">
        <f t="shared" ca="1" si="95"/>
        <v>0</v>
      </c>
      <c r="U196" s="551">
        <f t="shared" ca="1" si="95"/>
        <v>0</v>
      </c>
      <c r="V196" s="551">
        <f t="shared" ca="1" si="95"/>
        <v>0</v>
      </c>
      <c r="W196" s="551">
        <f t="shared" ca="1" si="95"/>
        <v>0</v>
      </c>
      <c r="X196" s="551">
        <f t="shared" ca="1" si="95"/>
        <v>0</v>
      </c>
      <c r="Y196" s="551">
        <f t="shared" ca="1" si="95"/>
        <v>0</v>
      </c>
      <c r="AC196" s="530"/>
      <c r="AD196" s="530"/>
      <c r="AE196" s="530"/>
      <c r="AF196" s="530"/>
      <c r="AG196" s="530"/>
      <c r="AH196" s="530"/>
      <c r="AI196" s="530"/>
      <c r="AJ196" s="530"/>
      <c r="AK196" s="530"/>
      <c r="AL196" s="530"/>
      <c r="AM196" s="530"/>
      <c r="AN196" s="530"/>
      <c r="AO196" s="530"/>
      <c r="AP196" s="530"/>
      <c r="AQ196" s="530"/>
      <c r="AR196" s="530"/>
      <c r="AS196" s="530"/>
      <c r="AT196" s="530"/>
      <c r="AU196" s="530"/>
      <c r="AV196" s="530"/>
      <c r="AW196" s="530"/>
      <c r="AX196" s="530"/>
      <c r="AY196" s="530"/>
      <c r="AZ196" s="530"/>
      <c r="BA196" s="530"/>
      <c r="BB196" s="530"/>
      <c r="BC196" s="530"/>
      <c r="BD196" s="530"/>
      <c r="BE196" s="530"/>
      <c r="BF196" s="530"/>
      <c r="BG196" s="530"/>
      <c r="BH196" s="530"/>
      <c r="BI196" s="530"/>
      <c r="BJ196" s="530"/>
      <c r="BK196" s="530"/>
      <c r="BL196" s="530"/>
      <c r="BM196" s="530"/>
      <c r="BN196" s="530"/>
      <c r="BO196" s="530"/>
      <c r="BP196" s="530"/>
      <c r="BQ196" s="530"/>
      <c r="BR196" s="530"/>
      <c r="BS196" s="530"/>
      <c r="BT196" s="530"/>
      <c r="BU196" s="530"/>
      <c r="BV196" s="530"/>
      <c r="BW196" s="530"/>
      <c r="BX196" s="530"/>
      <c r="BY196" s="530"/>
      <c r="BZ196" s="530"/>
      <c r="CA196" s="530"/>
    </row>
    <row r="197" spans="4:79">
      <c r="D197" t="s">
        <v>456</v>
      </c>
      <c r="E197" s="551">
        <f t="shared" ca="1" si="95"/>
        <v>0</v>
      </c>
      <c r="F197" s="551">
        <f t="shared" ca="1" si="95"/>
        <v>0</v>
      </c>
      <c r="G197" s="551">
        <f t="shared" ca="1" si="95"/>
        <v>0</v>
      </c>
      <c r="H197" s="551">
        <f t="shared" ca="1" si="95"/>
        <v>0</v>
      </c>
      <c r="I197" s="551">
        <f t="shared" ca="1" si="95"/>
        <v>0</v>
      </c>
      <c r="J197" s="551">
        <f t="shared" ca="1" si="95"/>
        <v>0</v>
      </c>
      <c r="K197" s="551">
        <f t="shared" ca="1" si="95"/>
        <v>0</v>
      </c>
      <c r="L197" s="551">
        <f t="shared" ca="1" si="95"/>
        <v>0</v>
      </c>
      <c r="M197" s="551">
        <f t="shared" ca="1" si="95"/>
        <v>0</v>
      </c>
      <c r="N197" s="551">
        <f t="shared" ca="1" si="95"/>
        <v>0</v>
      </c>
      <c r="O197" s="551">
        <f t="shared" ca="1" si="95"/>
        <v>0</v>
      </c>
      <c r="P197" s="551">
        <f t="shared" ca="1" si="95"/>
        <v>0</v>
      </c>
      <c r="Q197" s="551">
        <f t="shared" ca="1" si="95"/>
        <v>0</v>
      </c>
      <c r="R197" s="551">
        <f t="shared" ca="1" si="95"/>
        <v>0</v>
      </c>
      <c r="S197" s="551">
        <f t="shared" ca="1" si="95"/>
        <v>0</v>
      </c>
      <c r="T197" s="551">
        <f t="shared" ca="1" si="95"/>
        <v>0</v>
      </c>
      <c r="U197" s="551">
        <f t="shared" ca="1" si="95"/>
        <v>0</v>
      </c>
      <c r="V197" s="551">
        <f t="shared" ca="1" si="95"/>
        <v>0</v>
      </c>
      <c r="W197" s="551">
        <f t="shared" ca="1" si="95"/>
        <v>0</v>
      </c>
      <c r="X197" s="551">
        <f t="shared" ca="1" si="95"/>
        <v>0</v>
      </c>
      <c r="Y197" s="551">
        <f t="shared" ca="1" si="95"/>
        <v>0</v>
      </c>
      <c r="AC197" s="530"/>
      <c r="AD197" s="530"/>
      <c r="AE197" s="530"/>
      <c r="AF197" s="530"/>
      <c r="AG197" s="530"/>
      <c r="AH197" s="530"/>
      <c r="AI197" s="530"/>
      <c r="AJ197" s="530"/>
      <c r="AK197" s="530"/>
      <c r="AL197" s="530"/>
      <c r="AM197" s="530"/>
      <c r="AN197" s="530"/>
      <c r="AO197" s="530"/>
      <c r="AP197" s="530"/>
      <c r="AQ197" s="530"/>
      <c r="AR197" s="530"/>
      <c r="AS197" s="530"/>
      <c r="AT197" s="530"/>
      <c r="AU197" s="530"/>
      <c r="AV197" s="530"/>
      <c r="AW197" s="530"/>
      <c r="AX197" s="530"/>
      <c r="AY197" s="530"/>
      <c r="AZ197" s="530"/>
      <c r="BA197" s="530"/>
      <c r="BB197" s="530"/>
      <c r="BC197" s="530"/>
      <c r="BD197" s="530"/>
      <c r="BE197" s="530"/>
      <c r="BF197" s="530"/>
      <c r="BG197" s="530"/>
      <c r="BH197" s="530"/>
      <c r="BI197" s="530"/>
      <c r="BJ197" s="530"/>
      <c r="BK197" s="530"/>
      <c r="BL197" s="530"/>
      <c r="BM197" s="530"/>
      <c r="BN197" s="530"/>
      <c r="BO197" s="530"/>
      <c r="BP197" s="530"/>
      <c r="BQ197" s="530"/>
      <c r="BR197" s="530"/>
      <c r="BS197" s="530"/>
      <c r="BT197" s="530"/>
      <c r="BU197" s="530"/>
      <c r="BV197" s="530"/>
      <c r="BW197" s="530"/>
      <c r="BX197" s="530"/>
      <c r="BY197" s="530"/>
      <c r="BZ197" s="530"/>
      <c r="CA197" s="530"/>
    </row>
    <row r="198" spans="4:79">
      <c r="D198" t="s">
        <v>459</v>
      </c>
      <c r="E198" s="551">
        <f t="shared" ca="1" si="95"/>
        <v>0</v>
      </c>
      <c r="F198" s="551">
        <f t="shared" ca="1" si="95"/>
        <v>0</v>
      </c>
      <c r="G198" s="551">
        <f t="shared" ca="1" si="95"/>
        <v>0</v>
      </c>
      <c r="H198" s="551">
        <f t="shared" ca="1" si="95"/>
        <v>0</v>
      </c>
      <c r="I198" s="551">
        <f t="shared" ca="1" si="95"/>
        <v>0</v>
      </c>
      <c r="J198" s="551">
        <f t="shared" ca="1" si="95"/>
        <v>0</v>
      </c>
      <c r="K198" s="551">
        <f t="shared" ca="1" si="95"/>
        <v>0</v>
      </c>
      <c r="L198" s="551">
        <f t="shared" ca="1" si="95"/>
        <v>0</v>
      </c>
      <c r="M198" s="551">
        <f t="shared" ca="1" si="95"/>
        <v>0</v>
      </c>
      <c r="N198" s="551">
        <f t="shared" ca="1" si="95"/>
        <v>0</v>
      </c>
      <c r="O198" s="551">
        <f t="shared" ca="1" si="95"/>
        <v>0</v>
      </c>
      <c r="P198" s="551">
        <f t="shared" ca="1" si="95"/>
        <v>0</v>
      </c>
      <c r="Q198" s="551">
        <f t="shared" ca="1" si="95"/>
        <v>0</v>
      </c>
      <c r="R198" s="551">
        <f t="shared" ca="1" si="95"/>
        <v>0</v>
      </c>
      <c r="S198" s="551">
        <f t="shared" ca="1" si="95"/>
        <v>0</v>
      </c>
      <c r="T198" s="551">
        <f t="shared" ca="1" si="95"/>
        <v>0</v>
      </c>
      <c r="U198" s="551">
        <f t="shared" ca="1" si="95"/>
        <v>0</v>
      </c>
      <c r="V198" s="551">
        <f t="shared" ca="1" si="95"/>
        <v>0</v>
      </c>
      <c r="W198" s="551">
        <f t="shared" ca="1" si="95"/>
        <v>0</v>
      </c>
      <c r="X198" s="551">
        <f t="shared" ca="1" si="95"/>
        <v>0</v>
      </c>
      <c r="Y198" s="551">
        <f t="shared" ca="1" si="95"/>
        <v>0</v>
      </c>
      <c r="AC198" s="530"/>
      <c r="AD198" s="530"/>
      <c r="AE198" s="530"/>
      <c r="AF198" s="530"/>
      <c r="AG198" s="530"/>
      <c r="AH198" s="530"/>
      <c r="AI198" s="530"/>
      <c r="AJ198" s="530"/>
      <c r="AK198" s="530"/>
      <c r="AL198" s="530"/>
      <c r="AM198" s="530"/>
      <c r="AN198" s="530"/>
      <c r="AO198" s="530"/>
      <c r="AP198" s="530"/>
      <c r="AQ198" s="530"/>
      <c r="AR198" s="530"/>
      <c r="AS198" s="530"/>
      <c r="AT198" s="530"/>
      <c r="AU198" s="530"/>
      <c r="AV198" s="530"/>
      <c r="AW198" s="530"/>
      <c r="AX198" s="530"/>
      <c r="AY198" s="530"/>
      <c r="AZ198" s="530"/>
      <c r="BA198" s="530"/>
      <c r="BB198" s="530"/>
      <c r="BC198" s="530"/>
      <c r="BD198" s="530"/>
      <c r="BE198" s="530"/>
      <c r="BF198" s="530"/>
      <c r="BG198" s="530"/>
      <c r="BH198" s="530"/>
      <c r="BI198" s="530"/>
      <c r="BJ198" s="530"/>
      <c r="BK198" s="530"/>
      <c r="BL198" s="530"/>
      <c r="BM198" s="530"/>
      <c r="BN198" s="530"/>
      <c r="BO198" s="530"/>
      <c r="BP198" s="530"/>
      <c r="BQ198" s="530"/>
      <c r="BR198" s="530"/>
      <c r="BS198" s="530"/>
      <c r="BT198" s="530"/>
      <c r="BU198" s="530"/>
      <c r="BV198" s="530"/>
      <c r="BW198" s="530"/>
      <c r="BX198" s="530"/>
      <c r="BY198" s="530"/>
      <c r="BZ198" s="530"/>
      <c r="CA198" s="530"/>
    </row>
    <row r="199" spans="4:79">
      <c r="D199" t="s">
        <v>462</v>
      </c>
      <c r="E199" s="551">
        <f t="shared" ca="1" si="95"/>
        <v>0</v>
      </c>
      <c r="F199" s="551">
        <f t="shared" ca="1" si="95"/>
        <v>0</v>
      </c>
      <c r="G199" s="551">
        <f t="shared" ca="1" si="95"/>
        <v>0</v>
      </c>
      <c r="H199" s="551">
        <f t="shared" ca="1" si="95"/>
        <v>0</v>
      </c>
      <c r="I199" s="551">
        <f t="shared" ca="1" si="95"/>
        <v>0</v>
      </c>
      <c r="J199" s="551">
        <f t="shared" ca="1" si="95"/>
        <v>0</v>
      </c>
      <c r="K199" s="551">
        <f t="shared" ca="1" si="95"/>
        <v>0</v>
      </c>
      <c r="L199" s="551">
        <f t="shared" ca="1" si="95"/>
        <v>0</v>
      </c>
      <c r="M199" s="551">
        <f t="shared" ca="1" si="95"/>
        <v>0</v>
      </c>
      <c r="N199" s="551">
        <f t="shared" ca="1" si="95"/>
        <v>0</v>
      </c>
      <c r="O199" s="551">
        <f t="shared" ca="1" si="95"/>
        <v>0</v>
      </c>
      <c r="P199" s="551">
        <f t="shared" ca="1" si="95"/>
        <v>0</v>
      </c>
      <c r="Q199" s="551">
        <f t="shared" ca="1" si="95"/>
        <v>0</v>
      </c>
      <c r="R199" s="551">
        <f t="shared" ca="1" si="95"/>
        <v>0</v>
      </c>
      <c r="S199" s="551">
        <f t="shared" ca="1" si="95"/>
        <v>0</v>
      </c>
      <c r="T199" s="551">
        <f t="shared" ca="1" si="95"/>
        <v>0</v>
      </c>
      <c r="U199" s="551">
        <f t="shared" ca="1" si="95"/>
        <v>0</v>
      </c>
      <c r="V199" s="551">
        <f t="shared" ca="1" si="95"/>
        <v>0</v>
      </c>
      <c r="W199" s="551">
        <f t="shared" ca="1" si="95"/>
        <v>0</v>
      </c>
      <c r="X199" s="551">
        <f t="shared" ca="1" si="95"/>
        <v>0</v>
      </c>
      <c r="Y199" s="551">
        <f t="shared" ca="1" si="95"/>
        <v>0</v>
      </c>
      <c r="AC199" s="530"/>
      <c r="AD199" s="530"/>
      <c r="AE199" s="530"/>
      <c r="AF199" s="530"/>
      <c r="AG199" s="530"/>
      <c r="AH199" s="530"/>
      <c r="AI199" s="530"/>
      <c r="AJ199" s="530"/>
      <c r="AK199" s="530"/>
      <c r="AL199" s="530"/>
      <c r="AM199" s="530"/>
      <c r="AN199" s="530"/>
      <c r="AO199" s="530"/>
      <c r="AP199" s="530"/>
      <c r="AQ199" s="530"/>
      <c r="AR199" s="530"/>
      <c r="AS199" s="530"/>
      <c r="AT199" s="530"/>
      <c r="AU199" s="530"/>
      <c r="AV199" s="530"/>
      <c r="AW199" s="530"/>
      <c r="AX199" s="530"/>
      <c r="AY199" s="530"/>
      <c r="AZ199" s="530"/>
      <c r="BA199" s="530"/>
      <c r="BB199" s="530"/>
      <c r="BC199" s="530"/>
      <c r="BD199" s="530"/>
      <c r="BE199" s="530"/>
      <c r="BF199" s="530"/>
      <c r="BG199" s="530"/>
      <c r="BH199" s="530"/>
      <c r="BI199" s="530"/>
      <c r="BJ199" s="530"/>
      <c r="BK199" s="530"/>
      <c r="BL199" s="530"/>
      <c r="BM199" s="530"/>
      <c r="BN199" s="530"/>
      <c r="BO199" s="530"/>
      <c r="BP199" s="530"/>
      <c r="BQ199" s="530"/>
      <c r="BR199" s="530"/>
      <c r="BS199" s="530"/>
      <c r="BT199" s="530"/>
      <c r="BU199" s="530"/>
      <c r="BV199" s="530"/>
      <c r="BW199" s="530"/>
      <c r="BX199" s="530"/>
      <c r="BY199" s="530"/>
      <c r="BZ199" s="530"/>
      <c r="CA199" s="530"/>
    </row>
    <row r="200" spans="4:79">
      <c r="D200" t="s">
        <v>465</v>
      </c>
      <c r="E200" s="551">
        <f t="shared" ca="1" si="95"/>
        <v>0</v>
      </c>
      <c r="F200" s="551">
        <f t="shared" ca="1" si="95"/>
        <v>0</v>
      </c>
      <c r="G200" s="551">
        <f t="shared" ca="1" si="95"/>
        <v>0</v>
      </c>
      <c r="H200" s="551">
        <f t="shared" ca="1" si="95"/>
        <v>0</v>
      </c>
      <c r="I200" s="551">
        <f t="shared" ca="1" si="95"/>
        <v>0</v>
      </c>
      <c r="J200" s="551">
        <f t="shared" ca="1" si="95"/>
        <v>0</v>
      </c>
      <c r="K200" s="551">
        <f t="shared" ca="1" si="95"/>
        <v>0</v>
      </c>
      <c r="L200" s="551">
        <f t="shared" ca="1" si="95"/>
        <v>0</v>
      </c>
      <c r="M200" s="551">
        <f t="shared" ca="1" si="95"/>
        <v>0</v>
      </c>
      <c r="N200" s="551">
        <f t="shared" ca="1" si="95"/>
        <v>0</v>
      </c>
      <c r="O200" s="551">
        <f t="shared" ca="1" si="95"/>
        <v>0</v>
      </c>
      <c r="P200" s="551">
        <f t="shared" ca="1" si="95"/>
        <v>0</v>
      </c>
      <c r="Q200" s="551">
        <f t="shared" ca="1" si="95"/>
        <v>0</v>
      </c>
      <c r="R200" s="551">
        <f t="shared" ca="1" si="95"/>
        <v>0</v>
      </c>
      <c r="S200" s="551">
        <f t="shared" ca="1" si="95"/>
        <v>0</v>
      </c>
      <c r="T200" s="551">
        <f t="shared" ca="1" si="95"/>
        <v>0</v>
      </c>
      <c r="U200" s="551">
        <f t="shared" ca="1" si="95"/>
        <v>0</v>
      </c>
      <c r="V200" s="551">
        <f t="shared" ca="1" si="95"/>
        <v>0</v>
      </c>
      <c r="W200" s="551">
        <f t="shared" ca="1" si="95"/>
        <v>0</v>
      </c>
      <c r="X200" s="551">
        <f t="shared" ca="1" si="95"/>
        <v>0</v>
      </c>
      <c r="Y200" s="551">
        <f t="shared" ca="1" si="95"/>
        <v>0</v>
      </c>
      <c r="AC200" s="530"/>
      <c r="AD200" s="530"/>
      <c r="AE200" s="530"/>
      <c r="AF200" s="530"/>
      <c r="AG200" s="530"/>
      <c r="AH200" s="530"/>
      <c r="AI200" s="530"/>
      <c r="AJ200" s="530"/>
      <c r="AK200" s="530"/>
      <c r="AL200" s="530"/>
      <c r="AM200" s="530"/>
      <c r="AN200" s="530"/>
      <c r="AO200" s="530"/>
      <c r="AP200" s="530"/>
      <c r="AQ200" s="530"/>
      <c r="AR200" s="530"/>
      <c r="AS200" s="530"/>
      <c r="AT200" s="530"/>
      <c r="AU200" s="530"/>
      <c r="AV200" s="530"/>
      <c r="AW200" s="530"/>
      <c r="AX200" s="530"/>
      <c r="AY200" s="530"/>
      <c r="AZ200" s="530"/>
      <c r="BA200" s="530"/>
      <c r="BB200" s="530"/>
      <c r="BC200" s="530"/>
      <c r="BD200" s="530"/>
      <c r="BE200" s="530"/>
      <c r="BF200" s="530"/>
      <c r="BG200" s="530"/>
      <c r="BH200" s="530"/>
      <c r="BI200" s="530"/>
      <c r="BJ200" s="530"/>
      <c r="BK200" s="530"/>
      <c r="BL200" s="530"/>
      <c r="BM200" s="530"/>
      <c r="BN200" s="530"/>
      <c r="BO200" s="530"/>
      <c r="BP200" s="530"/>
      <c r="BQ200" s="530"/>
      <c r="BR200" s="530"/>
      <c r="BS200" s="530"/>
      <c r="BT200" s="530"/>
      <c r="BU200" s="530"/>
      <c r="BV200" s="530"/>
      <c r="BW200" s="530"/>
      <c r="BX200" s="530"/>
      <c r="BY200" s="530"/>
      <c r="BZ200" s="530"/>
      <c r="CA200" s="530"/>
    </row>
    <row r="201" spans="4:79">
      <c r="D201" t="s">
        <v>468</v>
      </c>
      <c r="E201" s="551">
        <f t="shared" ca="1" si="95"/>
        <v>0</v>
      </c>
      <c r="F201" s="551">
        <f t="shared" ca="1" si="95"/>
        <v>0</v>
      </c>
      <c r="G201" s="551">
        <f t="shared" ca="1" si="95"/>
        <v>0</v>
      </c>
      <c r="H201" s="551">
        <f t="shared" ca="1" si="95"/>
        <v>0</v>
      </c>
      <c r="I201" s="551">
        <f t="shared" ca="1" si="95"/>
        <v>0</v>
      </c>
      <c r="J201" s="551">
        <f t="shared" ca="1" si="95"/>
        <v>0</v>
      </c>
      <c r="K201" s="551">
        <f t="shared" ca="1" si="95"/>
        <v>0</v>
      </c>
      <c r="L201" s="551">
        <f t="shared" ca="1" si="95"/>
        <v>0</v>
      </c>
      <c r="M201" s="551">
        <f t="shared" ca="1" si="95"/>
        <v>0</v>
      </c>
      <c r="N201" s="551">
        <f t="shared" ca="1" si="95"/>
        <v>0</v>
      </c>
      <c r="O201" s="551">
        <f t="shared" ca="1" si="95"/>
        <v>0</v>
      </c>
      <c r="P201" s="551">
        <f t="shared" ca="1" si="95"/>
        <v>0</v>
      </c>
      <c r="Q201" s="551">
        <f t="shared" ca="1" si="95"/>
        <v>0</v>
      </c>
      <c r="R201" s="551">
        <f t="shared" ca="1" si="95"/>
        <v>0</v>
      </c>
      <c r="S201" s="551">
        <f t="shared" ca="1" si="95"/>
        <v>0</v>
      </c>
      <c r="T201" s="551">
        <f t="shared" ca="1" si="95"/>
        <v>0</v>
      </c>
      <c r="U201" s="551">
        <f t="shared" ca="1" si="95"/>
        <v>0</v>
      </c>
      <c r="V201" s="551">
        <f t="shared" ca="1" si="95"/>
        <v>0</v>
      </c>
      <c r="W201" s="551">
        <f t="shared" ca="1" si="95"/>
        <v>0</v>
      </c>
      <c r="X201" s="551">
        <f t="shared" ca="1" si="95"/>
        <v>0</v>
      </c>
      <c r="Y201" s="551">
        <f t="shared" ca="1" si="95"/>
        <v>0</v>
      </c>
      <c r="AC201" s="530"/>
      <c r="AD201" s="530"/>
      <c r="AE201" s="530"/>
      <c r="AF201" s="530"/>
      <c r="AG201" s="530"/>
      <c r="AH201" s="530"/>
      <c r="AI201" s="530"/>
      <c r="AJ201" s="530"/>
      <c r="AK201" s="530"/>
      <c r="AL201" s="530"/>
      <c r="AM201" s="530"/>
      <c r="AN201" s="530"/>
      <c r="AO201" s="530"/>
      <c r="AP201" s="530"/>
      <c r="AQ201" s="530"/>
      <c r="AR201" s="530"/>
      <c r="AS201" s="530"/>
      <c r="AT201" s="530"/>
      <c r="AU201" s="530"/>
      <c r="AV201" s="530"/>
      <c r="AW201" s="530"/>
      <c r="AX201" s="530"/>
      <c r="AY201" s="530"/>
      <c r="AZ201" s="530"/>
      <c r="BA201" s="530"/>
      <c r="BB201" s="530"/>
      <c r="BC201" s="530"/>
      <c r="BD201" s="530"/>
      <c r="BE201" s="530"/>
      <c r="BF201" s="530"/>
      <c r="BG201" s="530"/>
      <c r="BH201" s="530"/>
      <c r="BI201" s="530"/>
      <c r="BJ201" s="530"/>
      <c r="BK201" s="530"/>
      <c r="BL201" s="530"/>
      <c r="BM201" s="530"/>
      <c r="BN201" s="530"/>
      <c r="BO201" s="530"/>
      <c r="BP201" s="530"/>
      <c r="BQ201" s="530"/>
      <c r="BR201" s="530"/>
      <c r="BS201" s="530"/>
      <c r="BT201" s="530"/>
      <c r="BU201" s="530"/>
      <c r="BV201" s="530"/>
      <c r="BW201" s="530"/>
      <c r="BX201" s="530"/>
      <c r="BY201" s="530"/>
      <c r="BZ201" s="530"/>
      <c r="CA201" s="530"/>
    </row>
    <row r="202" spans="4:79">
      <c r="D202" t="s">
        <v>471</v>
      </c>
      <c r="E202" s="551">
        <f t="shared" ca="1" si="95"/>
        <v>0</v>
      </c>
      <c r="F202" s="551">
        <f t="shared" ca="1" si="95"/>
        <v>0</v>
      </c>
      <c r="G202" s="551">
        <f t="shared" ca="1" si="95"/>
        <v>0</v>
      </c>
      <c r="H202" s="551">
        <f t="shared" ca="1" si="95"/>
        <v>0</v>
      </c>
      <c r="I202" s="551">
        <f t="shared" ca="1" si="95"/>
        <v>0</v>
      </c>
      <c r="J202" s="551">
        <f t="shared" ca="1" si="95"/>
        <v>0</v>
      </c>
      <c r="K202" s="551">
        <f t="shared" ca="1" si="95"/>
        <v>0</v>
      </c>
      <c r="L202" s="551">
        <f t="shared" ca="1" si="95"/>
        <v>0</v>
      </c>
      <c r="M202" s="551">
        <f t="shared" ca="1" si="95"/>
        <v>0</v>
      </c>
      <c r="N202" s="551">
        <f t="shared" ca="1" si="95"/>
        <v>0</v>
      </c>
      <c r="O202" s="551">
        <f t="shared" ca="1" si="95"/>
        <v>0</v>
      </c>
      <c r="P202" s="551">
        <f t="shared" ca="1" si="95"/>
        <v>0</v>
      </c>
      <c r="Q202" s="551">
        <f t="shared" ca="1" si="95"/>
        <v>0</v>
      </c>
      <c r="R202" s="551">
        <f t="shared" ca="1" si="95"/>
        <v>0</v>
      </c>
      <c r="S202" s="551">
        <f t="shared" ca="1" si="95"/>
        <v>0</v>
      </c>
      <c r="T202" s="551">
        <f t="shared" ca="1" si="95"/>
        <v>0</v>
      </c>
      <c r="U202" s="551">
        <f t="shared" ca="1" si="95"/>
        <v>0</v>
      </c>
      <c r="V202" s="551">
        <f t="shared" ca="1" si="95"/>
        <v>0</v>
      </c>
      <c r="W202" s="551">
        <f t="shared" ca="1" si="95"/>
        <v>0</v>
      </c>
      <c r="X202" s="551">
        <f t="shared" ca="1" si="95"/>
        <v>0</v>
      </c>
      <c r="Y202" s="551">
        <f t="shared" ca="1" si="95"/>
        <v>0</v>
      </c>
      <c r="AC202" s="530"/>
      <c r="AD202" s="530"/>
      <c r="AE202" s="530"/>
      <c r="AF202" s="530"/>
      <c r="AG202" s="530"/>
      <c r="AH202" s="530"/>
      <c r="AI202" s="530"/>
      <c r="AJ202" s="530"/>
      <c r="AK202" s="530"/>
      <c r="AL202" s="530"/>
      <c r="AM202" s="530"/>
      <c r="AN202" s="530"/>
      <c r="AO202" s="530"/>
      <c r="AP202" s="530"/>
      <c r="AQ202" s="530"/>
      <c r="AR202" s="530"/>
      <c r="AS202" s="530"/>
      <c r="AT202" s="530"/>
      <c r="AU202" s="530"/>
      <c r="AV202" s="530"/>
      <c r="AW202" s="530"/>
      <c r="AX202" s="530"/>
      <c r="AY202" s="530"/>
      <c r="AZ202" s="530"/>
      <c r="BA202" s="530"/>
      <c r="BB202" s="530"/>
      <c r="BC202" s="530"/>
      <c r="BD202" s="530"/>
      <c r="BE202" s="530"/>
      <c r="BF202" s="530"/>
      <c r="BG202" s="530"/>
      <c r="BH202" s="530"/>
      <c r="BI202" s="530"/>
      <c r="BJ202" s="530"/>
      <c r="BK202" s="530"/>
      <c r="BL202" s="530"/>
      <c r="BM202" s="530"/>
      <c r="BN202" s="530"/>
      <c r="BO202" s="530"/>
      <c r="BP202" s="530"/>
      <c r="BQ202" s="530"/>
      <c r="BR202" s="530"/>
      <c r="BS202" s="530"/>
      <c r="BT202" s="530"/>
      <c r="BU202" s="530"/>
      <c r="BV202" s="530"/>
      <c r="BW202" s="530"/>
      <c r="BX202" s="530"/>
      <c r="BY202" s="530"/>
      <c r="BZ202" s="530"/>
      <c r="CA202" s="530"/>
    </row>
    <row r="203" spans="4:79">
      <c r="D203" t="s">
        <v>474</v>
      </c>
      <c r="E203" s="551">
        <f t="shared" ca="1" si="95"/>
        <v>0</v>
      </c>
      <c r="F203" s="551">
        <f t="shared" ca="1" si="95"/>
        <v>0</v>
      </c>
      <c r="G203" s="551">
        <f t="shared" ca="1" si="95"/>
        <v>0</v>
      </c>
      <c r="H203" s="551">
        <f t="shared" ca="1" si="95"/>
        <v>0</v>
      </c>
      <c r="I203" s="551">
        <f t="shared" ca="1" si="95"/>
        <v>0</v>
      </c>
      <c r="J203" s="551">
        <f t="shared" ca="1" si="95"/>
        <v>0</v>
      </c>
      <c r="K203" s="551">
        <f t="shared" ca="1" si="95"/>
        <v>0</v>
      </c>
      <c r="L203" s="551">
        <f t="shared" ca="1" si="95"/>
        <v>0</v>
      </c>
      <c r="M203" s="551">
        <f t="shared" ca="1" si="95"/>
        <v>0</v>
      </c>
      <c r="N203" s="551">
        <f t="shared" ca="1" si="95"/>
        <v>0</v>
      </c>
      <c r="O203" s="551">
        <f t="shared" ca="1" si="95"/>
        <v>0</v>
      </c>
      <c r="P203" s="551">
        <f t="shared" ca="1" si="95"/>
        <v>0</v>
      </c>
      <c r="Q203" s="551">
        <f t="shared" ca="1" si="95"/>
        <v>0</v>
      </c>
      <c r="R203" s="551">
        <f t="shared" ca="1" si="95"/>
        <v>0</v>
      </c>
      <c r="S203" s="551">
        <f t="shared" ca="1" si="95"/>
        <v>0</v>
      </c>
      <c r="T203" s="551">
        <f t="shared" ca="1" si="95"/>
        <v>0</v>
      </c>
      <c r="U203" s="551">
        <f t="shared" ca="1" si="95"/>
        <v>0</v>
      </c>
      <c r="V203" s="551">
        <f t="shared" ca="1" si="95"/>
        <v>0</v>
      </c>
      <c r="W203" s="551">
        <f t="shared" ca="1" si="95"/>
        <v>0</v>
      </c>
      <c r="X203" s="551">
        <f t="shared" ca="1" si="95"/>
        <v>0</v>
      </c>
      <c r="Y203" s="551">
        <f t="shared" ca="1" si="95"/>
        <v>0</v>
      </c>
      <c r="AC203" s="530"/>
      <c r="AD203" s="530"/>
      <c r="AE203" s="530"/>
      <c r="AF203" s="530"/>
      <c r="AG203" s="530"/>
      <c r="AH203" s="530"/>
      <c r="AI203" s="530"/>
      <c r="AJ203" s="530"/>
      <c r="AK203" s="530"/>
      <c r="AL203" s="530"/>
      <c r="AM203" s="530"/>
      <c r="AN203" s="530"/>
      <c r="AO203" s="530"/>
      <c r="AP203" s="530"/>
      <c r="AQ203" s="530"/>
      <c r="AR203" s="530"/>
      <c r="AS203" s="530"/>
      <c r="AT203" s="530"/>
      <c r="AU203" s="530"/>
      <c r="AV203" s="530"/>
      <c r="AW203" s="530"/>
      <c r="AX203" s="530"/>
      <c r="AY203" s="530"/>
      <c r="AZ203" s="530"/>
      <c r="BA203" s="530"/>
      <c r="BB203" s="530"/>
      <c r="BC203" s="530"/>
      <c r="BD203" s="530"/>
      <c r="BE203" s="530"/>
      <c r="BF203" s="530"/>
      <c r="BG203" s="530"/>
      <c r="BH203" s="530"/>
      <c r="BI203" s="530"/>
      <c r="BJ203" s="530"/>
      <c r="BK203" s="530"/>
      <c r="BL203" s="530"/>
      <c r="BM203" s="530"/>
      <c r="BN203" s="530"/>
      <c r="BO203" s="530"/>
      <c r="BP203" s="530"/>
      <c r="BQ203" s="530"/>
      <c r="BR203" s="530"/>
      <c r="BS203" s="530"/>
      <c r="BT203" s="530"/>
      <c r="BU203" s="530"/>
      <c r="BV203" s="530"/>
      <c r="BW203" s="530"/>
      <c r="BX203" s="530"/>
      <c r="BY203" s="530"/>
      <c r="BZ203" s="530"/>
      <c r="CA203" s="530"/>
    </row>
    <row r="204" spans="4:79">
      <c r="D204" t="s">
        <v>477</v>
      </c>
      <c r="E204" s="551">
        <f t="shared" ca="1" si="95"/>
        <v>0</v>
      </c>
      <c r="F204" s="551">
        <f t="shared" ca="1" si="95"/>
        <v>0</v>
      </c>
      <c r="G204" s="551">
        <f t="shared" ca="1" si="95"/>
        <v>0</v>
      </c>
      <c r="H204" s="551">
        <f t="shared" ca="1" si="95"/>
        <v>0</v>
      </c>
      <c r="I204" s="551">
        <f t="shared" ca="1" si="95"/>
        <v>0</v>
      </c>
      <c r="J204" s="551">
        <f t="shared" ca="1" si="95"/>
        <v>0</v>
      </c>
      <c r="K204" s="551">
        <f t="shared" ca="1" si="95"/>
        <v>0</v>
      </c>
      <c r="L204" s="551">
        <f t="shared" ca="1" si="95"/>
        <v>0</v>
      </c>
      <c r="M204" s="551">
        <f t="shared" ca="1" si="95"/>
        <v>0</v>
      </c>
      <c r="N204" s="551">
        <f t="shared" ca="1" si="95"/>
        <v>0</v>
      </c>
      <c r="O204" s="551">
        <f t="shared" ca="1" si="95"/>
        <v>0</v>
      </c>
      <c r="P204" s="551">
        <f t="shared" ca="1" si="95"/>
        <v>0</v>
      </c>
      <c r="Q204" s="551">
        <f t="shared" ca="1" si="95"/>
        <v>0</v>
      </c>
      <c r="R204" s="551">
        <f t="shared" ca="1" si="95"/>
        <v>0</v>
      </c>
      <c r="S204" s="551">
        <f t="shared" ca="1" si="95"/>
        <v>0</v>
      </c>
      <c r="T204" s="551">
        <f t="shared" ca="1" si="95"/>
        <v>0</v>
      </c>
      <c r="U204" s="551">
        <f t="shared" ca="1" si="95"/>
        <v>0</v>
      </c>
      <c r="V204" s="551">
        <f t="shared" ca="1" si="95"/>
        <v>0</v>
      </c>
      <c r="W204" s="551">
        <f t="shared" ca="1" si="95"/>
        <v>0</v>
      </c>
      <c r="X204" s="551">
        <f t="shared" ca="1" si="95"/>
        <v>0</v>
      </c>
      <c r="Y204" s="551">
        <f t="shared" ca="1" si="95"/>
        <v>0</v>
      </c>
      <c r="AC204" s="530"/>
      <c r="AD204" s="530"/>
      <c r="AE204" s="530"/>
      <c r="AF204" s="530"/>
      <c r="AG204" s="530"/>
      <c r="AH204" s="530"/>
      <c r="AI204" s="530"/>
      <c r="AJ204" s="530"/>
      <c r="AK204" s="530"/>
      <c r="AL204" s="530"/>
      <c r="AM204" s="530"/>
      <c r="AN204" s="530"/>
      <c r="AO204" s="530"/>
      <c r="AP204" s="530"/>
      <c r="AQ204" s="530"/>
      <c r="AR204" s="530"/>
      <c r="AS204" s="530"/>
      <c r="AT204" s="530"/>
      <c r="AU204" s="530"/>
      <c r="AV204" s="530"/>
      <c r="AW204" s="530"/>
      <c r="AX204" s="530"/>
      <c r="AY204" s="530"/>
      <c r="AZ204" s="530"/>
      <c r="BA204" s="530"/>
      <c r="BB204" s="530"/>
      <c r="BC204" s="530"/>
      <c r="BD204" s="530"/>
      <c r="BE204" s="530"/>
      <c r="BF204" s="530"/>
      <c r="BG204" s="530"/>
      <c r="BH204" s="530"/>
      <c r="BI204" s="530"/>
      <c r="BJ204" s="530"/>
      <c r="BK204" s="530"/>
      <c r="BL204" s="530"/>
      <c r="BM204" s="530"/>
      <c r="BN204" s="530"/>
      <c r="BO204" s="530"/>
      <c r="BP204" s="530"/>
      <c r="BQ204" s="530"/>
      <c r="BR204" s="530"/>
      <c r="BS204" s="530"/>
      <c r="BT204" s="530"/>
      <c r="BU204" s="530"/>
      <c r="BV204" s="530"/>
      <c r="BW204" s="530"/>
      <c r="BX204" s="530"/>
      <c r="BY204" s="530"/>
      <c r="BZ204" s="530"/>
      <c r="CA204" s="530"/>
    </row>
    <row r="205" spans="4:79">
      <c r="D205" t="s">
        <v>480</v>
      </c>
      <c r="E205" s="551">
        <f t="shared" ca="1" si="95"/>
        <v>0</v>
      </c>
      <c r="F205" s="551">
        <f t="shared" ca="1" si="95"/>
        <v>0</v>
      </c>
      <c r="G205" s="551">
        <f t="shared" ca="1" si="95"/>
        <v>0</v>
      </c>
      <c r="H205" s="551">
        <f t="shared" ref="H205:Y205" ca="1" si="96">H168-H167</f>
        <v>0</v>
      </c>
      <c r="I205" s="551">
        <f t="shared" ca="1" si="96"/>
        <v>0</v>
      </c>
      <c r="J205" s="551">
        <f t="shared" ca="1" si="96"/>
        <v>0</v>
      </c>
      <c r="K205" s="551">
        <f t="shared" ca="1" si="96"/>
        <v>0</v>
      </c>
      <c r="L205" s="551">
        <f t="shared" ca="1" si="96"/>
        <v>0</v>
      </c>
      <c r="M205" s="551">
        <f t="shared" ca="1" si="96"/>
        <v>0</v>
      </c>
      <c r="N205" s="551">
        <f t="shared" ca="1" si="96"/>
        <v>0</v>
      </c>
      <c r="O205" s="551">
        <f t="shared" ca="1" si="96"/>
        <v>0</v>
      </c>
      <c r="P205" s="551">
        <f t="shared" ca="1" si="96"/>
        <v>0</v>
      </c>
      <c r="Q205" s="551">
        <f t="shared" ca="1" si="96"/>
        <v>0</v>
      </c>
      <c r="R205" s="551">
        <f t="shared" ca="1" si="96"/>
        <v>0</v>
      </c>
      <c r="S205" s="551">
        <f t="shared" ca="1" si="96"/>
        <v>0</v>
      </c>
      <c r="T205" s="551">
        <f t="shared" ca="1" si="96"/>
        <v>0</v>
      </c>
      <c r="U205" s="551">
        <f t="shared" ca="1" si="96"/>
        <v>0</v>
      </c>
      <c r="V205" s="551">
        <f t="shared" ca="1" si="96"/>
        <v>0</v>
      </c>
      <c r="W205" s="551">
        <f t="shared" ca="1" si="96"/>
        <v>0</v>
      </c>
      <c r="X205" s="551">
        <f t="shared" ca="1" si="96"/>
        <v>0</v>
      </c>
      <c r="Y205" s="551">
        <f t="shared" ca="1" si="96"/>
        <v>0</v>
      </c>
      <c r="AC205" s="530"/>
      <c r="AD205" s="530"/>
      <c r="AE205" s="530"/>
      <c r="AF205" s="530"/>
      <c r="AG205" s="530"/>
      <c r="AH205" s="530"/>
      <c r="AI205" s="530"/>
      <c r="AJ205" s="530"/>
      <c r="AK205" s="530"/>
      <c r="AL205" s="530"/>
      <c r="AM205" s="530"/>
      <c r="AN205" s="530"/>
      <c r="AO205" s="530"/>
      <c r="AP205" s="530"/>
      <c r="AQ205" s="530"/>
      <c r="AR205" s="530"/>
      <c r="AS205" s="530"/>
      <c r="AT205" s="530"/>
      <c r="AU205" s="530"/>
      <c r="AV205" s="530"/>
      <c r="AW205" s="530"/>
      <c r="AX205" s="530"/>
      <c r="AY205" s="530"/>
      <c r="AZ205" s="530"/>
      <c r="BA205" s="530"/>
      <c r="BB205" s="530"/>
      <c r="BC205" s="530"/>
      <c r="BD205" s="530"/>
      <c r="BE205" s="530"/>
      <c r="BF205" s="530"/>
      <c r="BG205" s="530"/>
      <c r="BH205" s="530"/>
      <c r="BI205" s="530"/>
      <c r="BJ205" s="530"/>
      <c r="BK205" s="530"/>
      <c r="BL205" s="530"/>
      <c r="BM205" s="530"/>
      <c r="BN205" s="530"/>
      <c r="BO205" s="530"/>
      <c r="BP205" s="530"/>
      <c r="BQ205" s="530"/>
      <c r="BR205" s="530"/>
      <c r="BS205" s="530"/>
      <c r="BT205" s="530"/>
      <c r="BU205" s="530"/>
      <c r="BV205" s="530"/>
      <c r="BW205" s="530"/>
      <c r="BX205" s="530"/>
      <c r="BY205" s="530"/>
      <c r="BZ205" s="530"/>
      <c r="CA205" s="530"/>
    </row>
    <row r="206" spans="4:79">
      <c r="D206" t="s">
        <v>483</v>
      </c>
      <c r="E206" s="551">
        <f t="shared" ref="E206:X206" ca="1" si="97">E169-E168</f>
        <v>0</v>
      </c>
      <c r="F206" s="551">
        <f t="shared" ca="1" si="97"/>
        <v>0</v>
      </c>
      <c r="G206" s="551">
        <f t="shared" ca="1" si="97"/>
        <v>0</v>
      </c>
      <c r="H206" s="551">
        <f t="shared" ca="1" si="97"/>
        <v>0</v>
      </c>
      <c r="I206" s="551">
        <f t="shared" ca="1" si="97"/>
        <v>0</v>
      </c>
      <c r="J206" s="551">
        <f t="shared" ca="1" si="97"/>
        <v>0</v>
      </c>
      <c r="K206" s="551">
        <f t="shared" ca="1" si="97"/>
        <v>0</v>
      </c>
      <c r="L206" s="551">
        <f t="shared" ca="1" si="97"/>
        <v>0</v>
      </c>
      <c r="M206" s="551">
        <f t="shared" ca="1" si="97"/>
        <v>0</v>
      </c>
      <c r="N206" s="551">
        <f t="shared" ca="1" si="97"/>
        <v>0</v>
      </c>
      <c r="O206" s="551">
        <f t="shared" ca="1" si="97"/>
        <v>0</v>
      </c>
      <c r="P206" s="551">
        <f t="shared" ca="1" si="97"/>
        <v>0</v>
      </c>
      <c r="Q206" s="551">
        <f t="shared" ca="1" si="97"/>
        <v>0</v>
      </c>
      <c r="R206" s="551">
        <f t="shared" ca="1" si="97"/>
        <v>0</v>
      </c>
      <c r="S206" s="551">
        <f t="shared" ca="1" si="97"/>
        <v>0</v>
      </c>
      <c r="T206" s="551">
        <f t="shared" ca="1" si="97"/>
        <v>0</v>
      </c>
      <c r="U206" s="551">
        <f t="shared" ca="1" si="97"/>
        <v>0</v>
      </c>
      <c r="V206" s="551">
        <f t="shared" ca="1" si="97"/>
        <v>0</v>
      </c>
      <c r="W206" s="551">
        <f t="shared" ca="1" si="97"/>
        <v>0</v>
      </c>
      <c r="X206" s="551">
        <f t="shared" ca="1" si="97"/>
        <v>0</v>
      </c>
      <c r="Y206" s="551">
        <f ca="1">Y169-Y168</f>
        <v>0</v>
      </c>
      <c r="AC206" s="530"/>
      <c r="AD206" s="530"/>
      <c r="AE206" s="530"/>
      <c r="AF206" s="530"/>
      <c r="AG206" s="530"/>
      <c r="AH206" s="530"/>
      <c r="AI206" s="530"/>
      <c r="AJ206" s="530"/>
      <c r="AK206" s="530"/>
      <c r="AL206" s="530"/>
      <c r="AM206" s="530"/>
      <c r="AN206" s="530"/>
      <c r="AO206" s="530"/>
      <c r="AP206" s="530"/>
      <c r="AQ206" s="530"/>
      <c r="AR206" s="530"/>
      <c r="AS206" s="530"/>
      <c r="AT206" s="530"/>
      <c r="AU206" s="530"/>
      <c r="AV206" s="530"/>
      <c r="AW206" s="530"/>
      <c r="AX206" s="530"/>
      <c r="AY206" s="530"/>
      <c r="AZ206" s="530"/>
      <c r="BA206" s="530"/>
      <c r="BB206" s="530"/>
      <c r="BC206" s="530"/>
      <c r="BD206" s="530"/>
      <c r="BE206" s="530"/>
      <c r="BF206" s="530"/>
      <c r="BG206" s="530"/>
      <c r="BH206" s="530"/>
      <c r="BI206" s="530"/>
      <c r="BJ206" s="530"/>
      <c r="BK206" s="530"/>
      <c r="BL206" s="530"/>
      <c r="BM206" s="530"/>
      <c r="BN206" s="530"/>
      <c r="BO206" s="530"/>
      <c r="BP206" s="530"/>
      <c r="BQ206" s="530"/>
      <c r="BR206" s="530"/>
      <c r="BS206" s="530"/>
      <c r="BT206" s="530"/>
      <c r="BU206" s="530"/>
      <c r="BV206" s="530"/>
      <c r="BW206" s="530"/>
      <c r="BX206" s="530"/>
      <c r="BY206" s="530"/>
      <c r="BZ206" s="530"/>
      <c r="CA206" s="530"/>
    </row>
    <row r="207" spans="4:79">
      <c r="E207" s="551"/>
      <c r="F207" s="551"/>
      <c r="G207" s="551"/>
      <c r="H207" s="551"/>
      <c r="I207" s="551"/>
      <c r="J207" s="551"/>
      <c r="K207" s="551"/>
      <c r="L207" s="551"/>
      <c r="M207" s="551"/>
      <c r="N207" s="551"/>
      <c r="O207" s="551"/>
      <c r="P207" s="551"/>
      <c r="Q207" s="551"/>
      <c r="R207" s="551"/>
      <c r="S207" s="551"/>
      <c r="T207" s="551"/>
      <c r="U207" s="551"/>
      <c r="V207" s="551"/>
      <c r="W207" s="551"/>
      <c r="X207" s="551"/>
      <c r="Y207" s="551"/>
      <c r="AC207" s="530"/>
      <c r="AD207" s="530"/>
      <c r="AE207" s="530"/>
      <c r="AF207" s="530"/>
      <c r="AG207" s="530"/>
      <c r="AH207" s="530"/>
      <c r="AI207" s="530"/>
      <c r="AJ207" s="530"/>
      <c r="AK207" s="530"/>
      <c r="AL207" s="530"/>
      <c r="AM207" s="530"/>
      <c r="AN207" s="530"/>
      <c r="AO207" s="530"/>
      <c r="AP207" s="530"/>
      <c r="AQ207" s="530"/>
      <c r="AR207" s="530"/>
      <c r="AS207" s="530"/>
      <c r="AT207" s="530"/>
      <c r="AU207" s="530"/>
      <c r="AV207" s="530"/>
      <c r="AW207" s="530"/>
      <c r="AX207" s="530"/>
      <c r="AY207" s="530"/>
      <c r="AZ207" s="530"/>
      <c r="BA207" s="530"/>
      <c r="BB207" s="530"/>
      <c r="BC207" s="530"/>
      <c r="BD207" s="530"/>
      <c r="BE207" s="530"/>
      <c r="BF207" s="530"/>
      <c r="BG207" s="530"/>
      <c r="BH207" s="530"/>
      <c r="BI207" s="530"/>
      <c r="BJ207" s="530"/>
      <c r="BK207" s="530"/>
      <c r="BL207" s="530"/>
      <c r="BM207" s="530"/>
      <c r="BN207" s="530"/>
      <c r="BO207" s="530"/>
      <c r="BP207" s="530"/>
      <c r="BQ207" s="530"/>
      <c r="BR207" s="530"/>
      <c r="BS207" s="530"/>
      <c r="BT207" s="530"/>
      <c r="BU207" s="530"/>
      <c r="BV207" s="530"/>
      <c r="BW207" s="530"/>
      <c r="BX207" s="530"/>
      <c r="BY207" s="530"/>
      <c r="BZ207" s="530"/>
      <c r="CA207" s="530"/>
    </row>
    <row r="208" spans="4:79" ht="15">
      <c r="D208" s="552" t="s">
        <v>487</v>
      </c>
      <c r="E208" s="553">
        <f ca="1">SUM(E175:E206)</f>
        <v>4.7411583875743547E-2</v>
      </c>
      <c r="F208" s="553">
        <f t="shared" ref="F208:Y208" ca="1" si="98">SUM(F175:F206)</f>
        <v>5.8849301092899979E-2</v>
      </c>
      <c r="G208" s="553">
        <f t="shared" ca="1" si="98"/>
        <v>7.2739674831915291E-2</v>
      </c>
      <c r="H208" s="553">
        <f t="shared" ca="1" si="98"/>
        <v>8.5389162333465538E-2</v>
      </c>
      <c r="I208" s="553">
        <f t="shared" ca="1" si="98"/>
        <v>9.8509637300292746E-2</v>
      </c>
      <c r="J208" s="553">
        <f t="shared" ca="1" si="98"/>
        <v>0.11649799916880522</v>
      </c>
      <c r="K208" s="553">
        <f t="shared" ca="1" si="98"/>
        <v>0.1293359749268389</v>
      </c>
      <c r="L208" s="553">
        <f t="shared" ca="1" si="98"/>
        <v>0.13374584384196297</v>
      </c>
      <c r="M208" s="553">
        <f t="shared" ca="1" si="98"/>
        <v>0.12772168953465229</v>
      </c>
      <c r="N208" s="553">
        <f t="shared" ca="1" si="98"/>
        <v>0.11134947704273492</v>
      </c>
      <c r="O208" s="553">
        <f t="shared" ca="1" si="98"/>
        <v>8.7565622651880351E-2</v>
      </c>
      <c r="P208" s="553">
        <f t="shared" ca="1" si="98"/>
        <v>6.0983521166841519E-2</v>
      </c>
      <c r="Q208" s="553">
        <f t="shared" ca="1" si="98"/>
        <v>3.7041699258462478E-2</v>
      </c>
      <c r="R208" s="553">
        <f t="shared" ca="1" si="98"/>
        <v>1.921602692044078E-2</v>
      </c>
      <c r="S208" s="553">
        <f t="shared" ca="1" si="98"/>
        <v>8.3551169406581704E-3</v>
      </c>
      <c r="T208" s="553">
        <f t="shared" ca="1" si="98"/>
        <v>2.9766542723959075E-3</v>
      </c>
      <c r="U208" s="553">
        <f t="shared" ca="1" si="98"/>
        <v>8.4597672810473494E-4</v>
      </c>
      <c r="V208" s="553">
        <f t="shared" ca="1" si="98"/>
        <v>1.8659730407723403E-4</v>
      </c>
      <c r="W208" s="553">
        <f t="shared" ca="1" si="98"/>
        <v>3.1084647648202513E-5</v>
      </c>
      <c r="X208" s="553">
        <f t="shared" ca="1" si="98"/>
        <v>3.7677779847777202E-6</v>
      </c>
      <c r="Y208" s="553">
        <f t="shared" ca="1" si="98"/>
        <v>1.4025179280594366</v>
      </c>
      <c r="Z208" s="530"/>
      <c r="AC208" s="530"/>
      <c r="AD208" s="530"/>
      <c r="AE208" s="530"/>
      <c r="AF208" s="530"/>
      <c r="AG208" s="530"/>
      <c r="AH208" s="530"/>
      <c r="AI208" s="530"/>
      <c r="AJ208" s="530"/>
      <c r="AK208" s="530"/>
      <c r="AL208" s="530"/>
      <c r="AM208" s="530"/>
      <c r="AN208" s="530"/>
      <c r="AO208" s="530"/>
      <c r="AP208" s="530"/>
      <c r="AQ208" s="530"/>
      <c r="AR208" s="530"/>
      <c r="AS208" s="530"/>
      <c r="AT208" s="530"/>
      <c r="AU208" s="530"/>
      <c r="AV208" s="530"/>
      <c r="AW208" s="530"/>
      <c r="AX208" s="530"/>
      <c r="AY208" s="530"/>
      <c r="AZ208" s="530"/>
      <c r="BA208" s="530"/>
      <c r="BB208" s="530"/>
      <c r="BC208" s="530"/>
      <c r="BD208" s="530"/>
      <c r="BE208" s="530"/>
      <c r="BF208" s="530"/>
      <c r="BG208" s="530"/>
      <c r="BH208" s="530"/>
      <c r="BI208" s="530"/>
      <c r="BJ208" s="530"/>
      <c r="BK208" s="530"/>
      <c r="BL208" s="530"/>
      <c r="BM208" s="530"/>
      <c r="BN208" s="530"/>
      <c r="BO208" s="530"/>
      <c r="BP208" s="530"/>
      <c r="BQ208" s="530"/>
      <c r="BR208" s="530"/>
      <c r="BS208" s="530"/>
      <c r="BT208" s="530"/>
      <c r="BU208" s="530"/>
      <c r="BV208" s="530"/>
      <c r="BW208" s="530"/>
      <c r="BX208" s="530"/>
      <c r="BY208" s="530"/>
      <c r="BZ208" s="530"/>
      <c r="CA208" s="530"/>
    </row>
    <row r="209" spans="4:79" ht="15">
      <c r="D209" s="552" t="s">
        <v>488</v>
      </c>
      <c r="E209" s="553">
        <f ca="1">E208</f>
        <v>4.7411583875743547E-2</v>
      </c>
      <c r="F209" s="553">
        <f ca="1">E209+F208</f>
        <v>0.10626088496864353</v>
      </c>
      <c r="G209" s="553">
        <f t="shared" ref="G209:X209" ca="1" si="99">F209+G208</f>
        <v>0.17900055980055882</v>
      </c>
      <c r="H209" s="553">
        <f t="shared" ca="1" si="99"/>
        <v>0.26438972213402434</v>
      </c>
      <c r="I209" s="553">
        <f t="shared" ca="1" si="99"/>
        <v>0.36289935943431706</v>
      </c>
      <c r="J209" s="553">
        <f t="shared" ca="1" si="99"/>
        <v>0.47939735860312227</v>
      </c>
      <c r="K209" s="553">
        <f t="shared" ca="1" si="99"/>
        <v>0.60873333352996117</v>
      </c>
      <c r="L209" s="553">
        <f t="shared" ca="1" si="99"/>
        <v>0.74247917737192415</v>
      </c>
      <c r="M209" s="553">
        <f t="shared" ca="1" si="99"/>
        <v>0.87020086690657639</v>
      </c>
      <c r="N209" s="553">
        <f t="shared" ca="1" si="99"/>
        <v>0.98155034394931129</v>
      </c>
      <c r="O209" s="553">
        <f t="shared" ca="1" si="99"/>
        <v>1.0691159666011916</v>
      </c>
      <c r="P209" s="553">
        <f t="shared" ca="1" si="99"/>
        <v>1.130099487768033</v>
      </c>
      <c r="Q209" s="553">
        <f t="shared" ca="1" si="99"/>
        <v>1.1671411870264956</v>
      </c>
      <c r="R209" s="553">
        <f t="shared" ca="1" si="99"/>
        <v>1.1863572139469365</v>
      </c>
      <c r="S209" s="553">
        <f t="shared" ca="1" si="99"/>
        <v>1.1947123308875947</v>
      </c>
      <c r="T209" s="553">
        <f t="shared" ca="1" si="99"/>
        <v>1.1976889851599906</v>
      </c>
      <c r="U209" s="553">
        <f t="shared" ca="1" si="99"/>
        <v>1.1985349618880954</v>
      </c>
      <c r="V209" s="553">
        <f t="shared" ca="1" si="99"/>
        <v>1.1987215591921727</v>
      </c>
      <c r="W209" s="553">
        <f t="shared" ca="1" si="99"/>
        <v>1.1987526438398208</v>
      </c>
      <c r="X209" s="553">
        <f t="shared" ca="1" si="99"/>
        <v>1.1987564116178056</v>
      </c>
      <c r="Y209" s="553"/>
      <c r="AC209" s="530"/>
      <c r="AD209" s="530"/>
      <c r="AE209" s="530"/>
      <c r="AF209" s="530"/>
      <c r="AG209" s="530"/>
      <c r="AH209" s="530"/>
      <c r="AI209" s="530"/>
      <c r="AJ209" s="530"/>
      <c r="AK209" s="530"/>
      <c r="AL209" s="530"/>
      <c r="AM209" s="530"/>
      <c r="AN209" s="530"/>
      <c r="AO209" s="530"/>
      <c r="AP209" s="530"/>
      <c r="AQ209" s="530"/>
      <c r="AR209" s="530"/>
      <c r="AS209" s="530"/>
      <c r="AT209" s="530"/>
      <c r="AU209" s="530"/>
      <c r="AV209" s="530"/>
      <c r="AW209" s="530"/>
      <c r="AX209" s="530"/>
      <c r="AY209" s="530"/>
      <c r="AZ209" s="530"/>
      <c r="BA209" s="530"/>
      <c r="BB209" s="530"/>
      <c r="BC209" s="530"/>
      <c r="BD209" s="530"/>
      <c r="BE209" s="530"/>
      <c r="BF209" s="530"/>
      <c r="BG209" s="530"/>
      <c r="BH209" s="530"/>
      <c r="BI209" s="530"/>
      <c r="BJ209" s="530"/>
      <c r="BK209" s="530"/>
      <c r="BL209" s="530"/>
      <c r="BM209" s="530"/>
      <c r="BN209" s="530"/>
      <c r="BO209" s="530"/>
      <c r="BP209" s="530"/>
      <c r="BQ209" s="530"/>
      <c r="BR209" s="530"/>
      <c r="BS209" s="530"/>
      <c r="BT209" s="530"/>
      <c r="BU209" s="530"/>
      <c r="BV209" s="530"/>
      <c r="BW209" s="530"/>
      <c r="BX209" s="530"/>
      <c r="BY209" s="530"/>
      <c r="BZ209" s="530"/>
      <c r="CA209" s="530"/>
    </row>
    <row r="210" spans="4:79">
      <c r="AC210" s="530"/>
      <c r="AD210" s="530"/>
      <c r="AE210" s="530"/>
      <c r="AF210" s="530"/>
      <c r="AG210" s="530"/>
      <c r="AH210" s="530"/>
      <c r="AI210" s="530"/>
      <c r="AJ210" s="530"/>
      <c r="AK210" s="530"/>
      <c r="AL210" s="530"/>
      <c r="AM210" s="530"/>
      <c r="AN210" s="530"/>
      <c r="AO210" s="530"/>
      <c r="AP210" s="530"/>
      <c r="AQ210" s="530"/>
      <c r="AR210" s="530"/>
      <c r="AS210" s="530"/>
      <c r="AT210" s="530"/>
      <c r="AU210" s="530"/>
      <c r="AV210" s="530"/>
      <c r="AW210" s="530"/>
      <c r="AX210" s="530"/>
      <c r="AY210" s="530"/>
      <c r="AZ210" s="530"/>
      <c r="BA210" s="530"/>
      <c r="BB210" s="530"/>
      <c r="BC210" s="530"/>
      <c r="BD210" s="530"/>
      <c r="BE210" s="530"/>
      <c r="BF210" s="530"/>
      <c r="BG210" s="530"/>
      <c r="BH210" s="530"/>
      <c r="BI210" s="530"/>
      <c r="BJ210" s="530"/>
      <c r="BK210" s="530"/>
      <c r="BL210" s="530"/>
      <c r="BM210" s="530"/>
      <c r="BN210" s="530"/>
      <c r="BO210" s="530"/>
      <c r="BP210" s="530"/>
      <c r="BQ210" s="530"/>
      <c r="BR210" s="530"/>
      <c r="BS210" s="530"/>
      <c r="BT210" s="530"/>
      <c r="BU210" s="530"/>
      <c r="BV210" s="530"/>
      <c r="BW210" s="530"/>
      <c r="BX210" s="530"/>
      <c r="BY210" s="530"/>
      <c r="BZ210" s="530"/>
      <c r="CA210" s="530"/>
    </row>
    <row r="211" spans="4:79">
      <c r="AC211" s="530"/>
      <c r="AD211" s="530"/>
      <c r="AE211" s="530"/>
      <c r="AF211" s="530"/>
      <c r="AG211" s="530"/>
      <c r="AH211" s="530"/>
      <c r="AI211" s="530"/>
      <c r="AJ211" s="530"/>
      <c r="AK211" s="530"/>
      <c r="AL211" s="530"/>
      <c r="AM211" s="530"/>
      <c r="AN211" s="530"/>
      <c r="AO211" s="530"/>
      <c r="AP211" s="530"/>
      <c r="AQ211" s="530"/>
      <c r="AR211" s="530"/>
      <c r="AS211" s="530"/>
      <c r="AT211" s="530"/>
      <c r="AU211" s="530"/>
      <c r="AV211" s="530"/>
      <c r="AW211" s="530"/>
      <c r="AX211" s="530"/>
      <c r="AY211" s="530"/>
      <c r="AZ211" s="530"/>
      <c r="BA211" s="530"/>
      <c r="BB211" s="530"/>
      <c r="BC211" s="530"/>
      <c r="BD211" s="530"/>
      <c r="BE211" s="530"/>
      <c r="BF211" s="530"/>
      <c r="BG211" s="530"/>
      <c r="BH211" s="530"/>
      <c r="BI211" s="530"/>
      <c r="BJ211" s="530"/>
      <c r="BK211" s="530"/>
      <c r="BL211" s="530"/>
      <c r="BM211" s="530"/>
      <c r="BN211" s="530"/>
      <c r="BO211" s="530"/>
      <c r="BP211" s="530"/>
      <c r="BQ211" s="530"/>
      <c r="BR211" s="530"/>
      <c r="BS211" s="530"/>
      <c r="BT211" s="530"/>
      <c r="BU211" s="530"/>
      <c r="BV211" s="530"/>
      <c r="BW211" s="530"/>
      <c r="BX211" s="530"/>
      <c r="BY211" s="530"/>
      <c r="BZ211" s="530"/>
      <c r="CA211" s="530"/>
    </row>
    <row r="212" spans="4:79" s="530" customFormat="1"/>
    <row r="213" spans="4:79" s="530" customFormat="1"/>
    <row r="214" spans="4:79" s="530" customFormat="1"/>
    <row r="215" spans="4:79" s="530" customFormat="1"/>
    <row r="216" spans="4:79" s="530" customFormat="1"/>
    <row r="217" spans="4:79" s="530" customFormat="1"/>
    <row r="218" spans="4:79" s="530" customFormat="1"/>
    <row r="219" spans="4:79" s="530" customFormat="1"/>
  </sheetData>
  <mergeCells count="1">
    <mergeCell ref="B1:S6"/>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CW32"/>
  <sheetViews>
    <sheetView workbookViewId="0">
      <selection sqref="A1:EA32"/>
    </sheetView>
  </sheetViews>
  <sheetFormatPr defaultRowHeight="12.75"/>
  <sheetData>
    <row r="1" spans="1:101" ht="13.5" thickBot="1">
      <c r="A1" s="588" t="s">
        <v>578</v>
      </c>
      <c r="B1" s="589"/>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row>
    <row r="2" spans="1:101" ht="13.5" thickBot="1">
      <c r="A2" s="590"/>
      <c r="B2" s="591"/>
      <c r="C2" s="592"/>
      <c r="D2" s="592"/>
      <c r="E2" s="592"/>
      <c r="F2" s="592"/>
      <c r="G2" s="592"/>
      <c r="H2" s="592"/>
      <c r="I2" s="592"/>
      <c r="J2" s="592"/>
      <c r="K2" s="592"/>
      <c r="L2" s="592"/>
      <c r="M2" s="592"/>
      <c r="N2" s="592"/>
      <c r="O2" s="593" t="s">
        <v>579</v>
      </c>
      <c r="P2" s="594"/>
      <c r="Q2" s="594"/>
      <c r="R2" s="594"/>
      <c r="S2" s="594"/>
      <c r="T2" s="594"/>
      <c r="U2" s="594"/>
      <c r="V2" s="594"/>
      <c r="W2" s="594"/>
      <c r="X2" s="594"/>
      <c r="Y2" s="594"/>
      <c r="Z2" s="595"/>
      <c r="AA2" s="592"/>
      <c r="AB2" s="593" t="s">
        <v>580</v>
      </c>
      <c r="AC2" s="594"/>
      <c r="AD2" s="594"/>
      <c r="AE2" s="594"/>
      <c r="AF2" s="594"/>
      <c r="AG2" s="594"/>
      <c r="AH2" s="594"/>
      <c r="AI2" s="594"/>
      <c r="AJ2" s="594"/>
      <c r="AK2" s="594"/>
      <c r="AL2" s="594"/>
      <c r="AM2" s="595"/>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row>
    <row r="3" spans="1:101" ht="204">
      <c r="A3" s="596" t="s">
        <v>581</v>
      </c>
      <c r="B3" s="597" t="s">
        <v>582</v>
      </c>
      <c r="C3" s="598" t="s">
        <v>385</v>
      </c>
      <c r="D3" s="598" t="s">
        <v>583</v>
      </c>
      <c r="E3" s="598" t="s">
        <v>584</v>
      </c>
      <c r="F3" s="598" t="s">
        <v>585</v>
      </c>
      <c r="G3" s="598" t="s">
        <v>586</v>
      </c>
      <c r="H3" s="598" t="s">
        <v>587</v>
      </c>
      <c r="I3" s="598" t="s">
        <v>588</v>
      </c>
      <c r="J3" s="598" t="s">
        <v>589</v>
      </c>
      <c r="K3" s="598" t="s">
        <v>384</v>
      </c>
      <c r="L3" s="598" t="s">
        <v>590</v>
      </c>
      <c r="M3" s="598" t="s">
        <v>591</v>
      </c>
      <c r="N3" s="598" t="s">
        <v>592</v>
      </c>
      <c r="O3" s="598" t="s">
        <v>593</v>
      </c>
      <c r="P3" s="598" t="s">
        <v>594</v>
      </c>
      <c r="Q3" s="598" t="s">
        <v>595</v>
      </c>
      <c r="R3" s="598" t="s">
        <v>596</v>
      </c>
      <c r="S3" s="598" t="s">
        <v>597</v>
      </c>
      <c r="T3" s="598" t="s">
        <v>598</v>
      </c>
      <c r="U3" s="598" t="s">
        <v>599</v>
      </c>
      <c r="V3" s="598" t="s">
        <v>600</v>
      </c>
      <c r="W3" s="598" t="s">
        <v>601</v>
      </c>
      <c r="X3" s="598" t="s">
        <v>602</v>
      </c>
      <c r="Y3" s="598" t="s">
        <v>603</v>
      </c>
      <c r="Z3" s="598" t="s">
        <v>604</v>
      </c>
      <c r="AA3" s="598"/>
      <c r="AB3" s="598" t="s">
        <v>593</v>
      </c>
      <c r="AC3" s="598" t="s">
        <v>594</v>
      </c>
      <c r="AD3" s="598" t="s">
        <v>595</v>
      </c>
      <c r="AE3" s="598" t="s">
        <v>596</v>
      </c>
      <c r="AF3" s="598" t="s">
        <v>597</v>
      </c>
      <c r="AG3" s="598" t="s">
        <v>598</v>
      </c>
      <c r="AH3" s="598" t="s">
        <v>599</v>
      </c>
      <c r="AI3" s="598" t="s">
        <v>600</v>
      </c>
      <c r="AJ3" s="598" t="s">
        <v>601</v>
      </c>
      <c r="AK3" s="598" t="s">
        <v>602</v>
      </c>
      <c r="AL3" s="598" t="s">
        <v>603</v>
      </c>
      <c r="AM3" s="598" t="s">
        <v>604</v>
      </c>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row>
    <row r="4" spans="1:101">
      <c r="A4" t="s">
        <v>554</v>
      </c>
      <c r="C4" s="538">
        <v>4.297103134260384</v>
      </c>
      <c r="D4" s="538">
        <v>0.45149651239206373</v>
      </c>
      <c r="E4" s="538">
        <v>9.0299302478412752E-2</v>
      </c>
      <c r="F4" s="538">
        <v>0.54179581487047646</v>
      </c>
      <c r="G4" s="538">
        <v>0.69038293341726042</v>
      </c>
      <c r="H4" s="538">
        <v>3.3483521019306868</v>
      </c>
      <c r="I4" s="538">
        <v>1104.4955613061582</v>
      </c>
      <c r="J4" s="538">
        <v>-12.790333463282392</v>
      </c>
      <c r="K4" s="538">
        <v>-7.6191296344260442</v>
      </c>
      <c r="L4" s="599">
        <v>4.8499925763764162</v>
      </c>
      <c r="M4" s="538">
        <v>4.0822938081181877E-2</v>
      </c>
      <c r="N4" s="538">
        <v>1.4713856900822407E-3</v>
      </c>
      <c r="O4" s="538">
        <v>0.2432179258727456</v>
      </c>
      <c r="P4" s="538">
        <v>0.22220291697413769</v>
      </c>
      <c r="Q4" s="538">
        <v>0.25874035563770953</v>
      </c>
      <c r="R4" s="538">
        <v>0.23836914860586231</v>
      </c>
      <c r="S4" s="538">
        <v>0.24788405073101188</v>
      </c>
      <c r="T4" s="538">
        <v>0.24804832440912616</v>
      </c>
      <c r="U4" s="538">
        <v>0.23966341256533577</v>
      </c>
      <c r="V4" s="538">
        <v>0.25804456691451555</v>
      </c>
      <c r="W4" s="538">
        <v>0.22884028286927482</v>
      </c>
      <c r="X4" s="538">
        <v>0.25712594674361794</v>
      </c>
      <c r="Y4" s="538">
        <v>0.23057216431209274</v>
      </c>
      <c r="Z4" s="538">
        <v>0.24239736943387402</v>
      </c>
      <c r="AA4" s="538"/>
      <c r="AB4" s="538">
        <v>0.12641867677388635</v>
      </c>
      <c r="AC4" s="538">
        <v>0.10976667950827243</v>
      </c>
      <c r="AD4" s="538">
        <v>0.10637701141257996</v>
      </c>
      <c r="AE4" s="538">
        <v>0.11297963897663768</v>
      </c>
      <c r="AF4" s="538">
        <v>0.11514256992020407</v>
      </c>
      <c r="AG4" s="538">
        <v>0.10344118938479911</v>
      </c>
      <c r="AH4" s="538">
        <v>0.12475669586524309</v>
      </c>
      <c r="AI4" s="538">
        <v>0.10590864007104898</v>
      </c>
      <c r="AJ4" s="538">
        <v>0.12206419585267227</v>
      </c>
      <c r="AK4" s="538">
        <v>0.10575656632350632</v>
      </c>
      <c r="AL4" s="538">
        <v>0.1234446361084463</v>
      </c>
      <c r="AM4" s="18">
        <v>0.12594016899378208</v>
      </c>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row>
    <row r="5" spans="1:101">
      <c r="A5" t="s">
        <v>561</v>
      </c>
      <c r="C5" s="538">
        <v>4.297103134260384</v>
      </c>
      <c r="D5" s="538">
        <v>0.45149651239206373</v>
      </c>
      <c r="E5" s="538">
        <v>9.0299302478412752E-2</v>
      </c>
      <c r="F5" s="538">
        <v>0.54179581487047646</v>
      </c>
      <c r="G5" s="538">
        <v>0.69038293341726042</v>
      </c>
      <c r="H5" s="538">
        <v>3.3483521019306868</v>
      </c>
      <c r="I5" s="538">
        <v>1104.4955613061582</v>
      </c>
      <c r="J5" s="538">
        <v>-12.790333463282392</v>
      </c>
      <c r="K5" s="538">
        <v>-7.6191296344260442</v>
      </c>
      <c r="L5" s="599">
        <v>4.8499925763764162</v>
      </c>
      <c r="M5" s="538">
        <v>4.0822938081181877E-2</v>
      </c>
      <c r="N5" s="538">
        <v>1.4713856900822407E-3</v>
      </c>
      <c r="O5" s="538">
        <v>0.2432179258727456</v>
      </c>
      <c r="P5" s="538">
        <v>0.22220291697413769</v>
      </c>
      <c r="Q5" s="538">
        <v>0.25874035563770953</v>
      </c>
      <c r="R5" s="538">
        <v>0.23836914860586231</v>
      </c>
      <c r="S5" s="538">
        <v>0.24788405073101188</v>
      </c>
      <c r="T5" s="538">
        <v>0.24804832440912616</v>
      </c>
      <c r="U5" s="538">
        <v>0.23966341256533577</v>
      </c>
      <c r="V5" s="538">
        <v>0.25804456691451555</v>
      </c>
      <c r="W5" s="538">
        <v>0.22884028286927482</v>
      </c>
      <c r="X5" s="538">
        <v>0.25712594674361794</v>
      </c>
      <c r="Y5" s="538">
        <v>0.23057216431209274</v>
      </c>
      <c r="Z5" s="538">
        <v>0.24239736943387402</v>
      </c>
      <c r="AA5" s="538"/>
      <c r="AB5" s="538">
        <v>0.12641867677388635</v>
      </c>
      <c r="AC5" s="538">
        <v>0.10976667950827243</v>
      </c>
      <c r="AD5" s="538">
        <v>0.10637701141257996</v>
      </c>
      <c r="AE5" s="538">
        <v>0.11297963897663768</v>
      </c>
      <c r="AF5" s="538">
        <v>0.11514256992020407</v>
      </c>
      <c r="AG5" s="538">
        <v>0.10344118938479911</v>
      </c>
      <c r="AH5" s="538">
        <v>0.12475669586524309</v>
      </c>
      <c r="AI5" s="538">
        <v>0.10590864007104898</v>
      </c>
      <c r="AJ5" s="538">
        <v>0.12206419585267227</v>
      </c>
      <c r="AK5" s="538">
        <v>0.10575656632350632</v>
      </c>
      <c r="AL5" s="538">
        <v>0.1234446361084463</v>
      </c>
      <c r="AM5" s="18">
        <v>0.12594016899378208</v>
      </c>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row>
    <row r="6" spans="1:101">
      <c r="A6" t="s">
        <v>568</v>
      </c>
      <c r="C6" s="538">
        <v>4.297103134260384</v>
      </c>
      <c r="D6" s="538">
        <v>0.45149651239206373</v>
      </c>
      <c r="E6" s="538">
        <v>9.0299302478412752E-2</v>
      </c>
      <c r="F6" s="538">
        <v>0.54179581487047646</v>
      </c>
      <c r="G6" s="538">
        <v>0.69038293341726042</v>
      </c>
      <c r="H6" s="538">
        <v>3.3483521019306868</v>
      </c>
      <c r="I6" s="538">
        <v>1104.4955613061582</v>
      </c>
      <c r="J6" s="538">
        <v>-12.790333463282392</v>
      </c>
      <c r="K6" s="538">
        <v>-7.6191296344260442</v>
      </c>
      <c r="L6" s="599">
        <v>4.8499925763764162</v>
      </c>
      <c r="M6" s="538">
        <v>4.0822938081181877E-2</v>
      </c>
      <c r="N6" s="538">
        <v>1.4713856900822407E-3</v>
      </c>
      <c r="O6" s="538">
        <v>0.2432179258727456</v>
      </c>
      <c r="P6" s="538">
        <v>0.22220291697413769</v>
      </c>
      <c r="Q6" s="538">
        <v>0.25874035563770953</v>
      </c>
      <c r="R6" s="538">
        <v>0.23836914860586231</v>
      </c>
      <c r="S6" s="538">
        <v>0.24788405073101188</v>
      </c>
      <c r="T6" s="538">
        <v>0.24804832440912616</v>
      </c>
      <c r="U6" s="538">
        <v>0.23966341256533577</v>
      </c>
      <c r="V6" s="538">
        <v>0.25804456691451555</v>
      </c>
      <c r="W6" s="538">
        <v>0.22884028286927482</v>
      </c>
      <c r="X6" s="538">
        <v>0.25712594674361794</v>
      </c>
      <c r="Y6" s="538">
        <v>0.23057216431209274</v>
      </c>
      <c r="Z6" s="538">
        <v>0.24239736943387402</v>
      </c>
      <c r="AA6" s="538"/>
      <c r="AB6" s="538">
        <v>0.12641867677388635</v>
      </c>
      <c r="AC6" s="538">
        <v>0.10976667950827243</v>
      </c>
      <c r="AD6" s="538">
        <v>0.10637701141257996</v>
      </c>
      <c r="AE6" s="538">
        <v>0.11297963897663768</v>
      </c>
      <c r="AF6" s="538">
        <v>0.11514256992020407</v>
      </c>
      <c r="AG6" s="538">
        <v>0.10344118938479911</v>
      </c>
      <c r="AH6" s="538">
        <v>0.12475669586524309</v>
      </c>
      <c r="AI6" s="538">
        <v>0.10590864007104898</v>
      </c>
      <c r="AJ6" s="538">
        <v>0.12206419585267227</v>
      </c>
      <c r="AK6" s="538">
        <v>0.10575656632350632</v>
      </c>
      <c r="AL6" s="538">
        <v>0.1234446361084463</v>
      </c>
      <c r="AM6" s="18">
        <v>0.12594016899378208</v>
      </c>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row>
    <row r="7" spans="1:101">
      <c r="A7" t="s">
        <v>575</v>
      </c>
      <c r="C7" s="538">
        <v>4.297103134260384</v>
      </c>
      <c r="D7" s="538">
        <v>0.45149651239206373</v>
      </c>
      <c r="E7" s="538">
        <v>9.0299302478412752E-2</v>
      </c>
      <c r="F7" s="538">
        <v>0.54179581487047646</v>
      </c>
      <c r="G7" s="538">
        <v>0.69038293341726042</v>
      </c>
      <c r="H7" s="538">
        <v>3.3483521019306868</v>
      </c>
      <c r="I7" s="538">
        <v>1104.4955613061582</v>
      </c>
      <c r="J7" s="538">
        <v>-12.790333463282392</v>
      </c>
      <c r="K7" s="538">
        <v>-7.6191296344260442</v>
      </c>
      <c r="L7" s="599">
        <v>4.8499925763764162</v>
      </c>
      <c r="M7" s="538">
        <v>4.0822938081181877E-2</v>
      </c>
      <c r="N7" s="538">
        <v>1.4713856900822407E-3</v>
      </c>
      <c r="O7" s="538">
        <v>0.2432179258727456</v>
      </c>
      <c r="P7" s="538">
        <v>0.22220291697413769</v>
      </c>
      <c r="Q7" s="538">
        <v>0.25874035563770953</v>
      </c>
      <c r="R7" s="538">
        <v>0.23836914860586231</v>
      </c>
      <c r="S7" s="538">
        <v>0.24788405073101188</v>
      </c>
      <c r="T7" s="538">
        <v>0.24804832440912616</v>
      </c>
      <c r="U7" s="538">
        <v>0.23966341256533577</v>
      </c>
      <c r="V7" s="538">
        <v>0.25804456691451555</v>
      </c>
      <c r="W7" s="538">
        <v>0.22884028286927482</v>
      </c>
      <c r="X7" s="538">
        <v>0.25712594674361794</v>
      </c>
      <c r="Y7" s="538">
        <v>0.23057216431209274</v>
      </c>
      <c r="Z7" s="538">
        <v>0.24239736943387402</v>
      </c>
      <c r="AA7" s="538"/>
      <c r="AB7" s="538">
        <v>0.12641867677388635</v>
      </c>
      <c r="AC7" s="538">
        <v>0.10976667950827243</v>
      </c>
      <c r="AD7" s="538">
        <v>0.10637701141257996</v>
      </c>
      <c r="AE7" s="538">
        <v>0.11297963897663768</v>
      </c>
      <c r="AF7" s="538">
        <v>0.11514256992020407</v>
      </c>
      <c r="AG7" s="538">
        <v>0.10344118938479911</v>
      </c>
      <c r="AH7" s="538">
        <v>0.12475669586524309</v>
      </c>
      <c r="AI7" s="538">
        <v>0.10590864007104898</v>
      </c>
      <c r="AJ7" s="538">
        <v>0.12206419585267227</v>
      </c>
      <c r="AK7" s="538">
        <v>0.10575656632350632</v>
      </c>
      <c r="AL7" s="538">
        <v>0.1234446361084463</v>
      </c>
      <c r="AM7" s="18">
        <v>0.12594016899378208</v>
      </c>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row>
    <row r="8" spans="1:101">
      <c r="A8" t="s">
        <v>552</v>
      </c>
      <c r="C8" s="538">
        <v>5.2516901160200797</v>
      </c>
      <c r="D8" s="538">
        <v>0.59537840461596525</v>
      </c>
      <c r="E8" s="538">
        <v>0.11907568092319305</v>
      </c>
      <c r="F8" s="538">
        <v>0.71445408553915835</v>
      </c>
      <c r="G8" s="538">
        <v>0.91039261254608939</v>
      </c>
      <c r="H8" s="538">
        <v>4.0921772387692723</v>
      </c>
      <c r="I8" s="538">
        <v>1191.7340229636461</v>
      </c>
      <c r="J8" s="538">
        <v>-12.265035179702243</v>
      </c>
      <c r="K8" s="538">
        <v>-6.6853843794400083</v>
      </c>
      <c r="L8" s="599">
        <v>4.494958748978318</v>
      </c>
      <c r="M8" s="538">
        <v>4.9891616218967767E-2</v>
      </c>
      <c r="N8" s="538">
        <v>1.7982490631536358E-3</v>
      </c>
      <c r="O8" s="538">
        <v>0.29724796855839297</v>
      </c>
      <c r="P8" s="538">
        <v>0.27156454624512122</v>
      </c>
      <c r="Q8" s="538">
        <v>0.31621865379127323</v>
      </c>
      <c r="R8" s="538">
        <v>0.29132205176010867</v>
      </c>
      <c r="S8" s="538">
        <v>0.3029506573309515</v>
      </c>
      <c r="T8" s="538">
        <v>0.30315142385312238</v>
      </c>
      <c r="U8" s="538">
        <v>0.29290383209702803</v>
      </c>
      <c r="V8" s="538">
        <v>0.31536829794775101</v>
      </c>
      <c r="W8" s="538">
        <v>0.27967638060859878</v>
      </c>
      <c r="X8" s="538">
        <v>0.3142456094012705</v>
      </c>
      <c r="Y8" s="538">
        <v>0.28179299367819194</v>
      </c>
      <c r="Z8" s="538">
        <v>0.29624512827157257</v>
      </c>
      <c r="AA8" s="538"/>
      <c r="AB8" s="538">
        <v>0.1545021598389047</v>
      </c>
      <c r="AC8" s="538">
        <v>0.13415097749129504</v>
      </c>
      <c r="AD8" s="538">
        <v>0.13000830604996816</v>
      </c>
      <c r="AE8" s="538">
        <v>0.13807768507917126</v>
      </c>
      <c r="AF8" s="538">
        <v>0.14072110384364006</v>
      </c>
      <c r="AG8" s="538">
        <v>0.12642030105126001</v>
      </c>
      <c r="AH8" s="538">
        <v>0.15247097547161625</v>
      </c>
      <c r="AI8" s="538">
        <v>0.12943588759313987</v>
      </c>
      <c r="AJ8" s="538">
        <v>0.14918034565389932</v>
      </c>
      <c r="AK8" s="538">
        <v>0.12925003117500822</v>
      </c>
      <c r="AL8" s="538">
        <v>0.15086744606096286</v>
      </c>
      <c r="AM8" s="18">
        <v>0.15391735316782978</v>
      </c>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row>
    <row r="9" spans="1:101">
      <c r="A9" t="s">
        <v>559</v>
      </c>
      <c r="C9" s="538">
        <v>5.2516901160200797</v>
      </c>
      <c r="D9" s="538">
        <v>0.59537840461596525</v>
      </c>
      <c r="E9" s="538">
        <v>0.11907568092319305</v>
      </c>
      <c r="F9" s="538">
        <v>0.71445408553915835</v>
      </c>
      <c r="G9" s="538">
        <v>0.91039261254608939</v>
      </c>
      <c r="H9" s="538">
        <v>4.0921772387692723</v>
      </c>
      <c r="I9" s="538">
        <v>1191.7340229636461</v>
      </c>
      <c r="J9" s="538">
        <v>-12.265035179702243</v>
      </c>
      <c r="K9" s="538">
        <v>-6.6853843794400083</v>
      </c>
      <c r="L9" s="599">
        <v>4.494958748978318</v>
      </c>
      <c r="M9" s="538">
        <v>4.9891616218967767E-2</v>
      </c>
      <c r="N9" s="538">
        <v>1.7982490631536358E-3</v>
      </c>
      <c r="O9" s="538">
        <v>0.29724796855839297</v>
      </c>
      <c r="P9" s="538">
        <v>0.27156454624512122</v>
      </c>
      <c r="Q9" s="538">
        <v>0.31621865379127323</v>
      </c>
      <c r="R9" s="538">
        <v>0.29132205176010867</v>
      </c>
      <c r="S9" s="538">
        <v>0.3029506573309515</v>
      </c>
      <c r="T9" s="538">
        <v>0.30315142385312238</v>
      </c>
      <c r="U9" s="538">
        <v>0.29290383209702803</v>
      </c>
      <c r="V9" s="538">
        <v>0.31536829794775101</v>
      </c>
      <c r="W9" s="538">
        <v>0.27967638060859878</v>
      </c>
      <c r="X9" s="538">
        <v>0.3142456094012705</v>
      </c>
      <c r="Y9" s="538">
        <v>0.28179299367819194</v>
      </c>
      <c r="Z9" s="538">
        <v>0.29624512827157257</v>
      </c>
      <c r="AA9" s="538"/>
      <c r="AB9" s="538">
        <v>0.1545021598389047</v>
      </c>
      <c r="AC9" s="538">
        <v>0.13415097749129504</v>
      </c>
      <c r="AD9" s="538">
        <v>0.13000830604996816</v>
      </c>
      <c r="AE9" s="538">
        <v>0.13807768507917126</v>
      </c>
      <c r="AF9" s="538">
        <v>0.14072110384364006</v>
      </c>
      <c r="AG9" s="538">
        <v>0.12642030105126001</v>
      </c>
      <c r="AH9" s="538">
        <v>0.15247097547161625</v>
      </c>
      <c r="AI9" s="538">
        <v>0.12943588759313987</v>
      </c>
      <c r="AJ9" s="538">
        <v>0.14918034565389932</v>
      </c>
      <c r="AK9" s="538">
        <v>0.12925003117500822</v>
      </c>
      <c r="AL9" s="538">
        <v>0.15086744606096286</v>
      </c>
      <c r="AM9" s="18">
        <v>0.15391735316782978</v>
      </c>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row>
    <row r="10" spans="1:101">
      <c r="A10" t="s">
        <v>566</v>
      </c>
      <c r="C10" s="538">
        <v>5.2516901160200797</v>
      </c>
      <c r="D10" s="538">
        <v>0.59537840461596525</v>
      </c>
      <c r="E10" s="538">
        <v>0.11907568092319305</v>
      </c>
      <c r="F10" s="538">
        <v>0.71445408553915835</v>
      </c>
      <c r="G10" s="538">
        <v>0.91039261254608939</v>
      </c>
      <c r="H10" s="538">
        <v>4.0921772387692723</v>
      </c>
      <c r="I10" s="538">
        <v>1191.7340229636461</v>
      </c>
      <c r="J10" s="538">
        <v>-12.265035179702243</v>
      </c>
      <c r="K10" s="538">
        <v>-6.6853843794400083</v>
      </c>
      <c r="L10" s="599">
        <v>4.494958748978318</v>
      </c>
      <c r="M10" s="538">
        <v>4.9891616218967767E-2</v>
      </c>
      <c r="N10" s="538">
        <v>1.7982490631536358E-3</v>
      </c>
      <c r="O10" s="538">
        <v>0.29724796855839297</v>
      </c>
      <c r="P10" s="538">
        <v>0.27156454624512122</v>
      </c>
      <c r="Q10" s="538">
        <v>0.31621865379127323</v>
      </c>
      <c r="R10" s="538">
        <v>0.29132205176010867</v>
      </c>
      <c r="S10" s="538">
        <v>0.3029506573309515</v>
      </c>
      <c r="T10" s="538">
        <v>0.30315142385312238</v>
      </c>
      <c r="U10" s="538">
        <v>0.29290383209702803</v>
      </c>
      <c r="V10" s="538">
        <v>0.31536829794775101</v>
      </c>
      <c r="W10" s="538">
        <v>0.27967638060859878</v>
      </c>
      <c r="X10" s="538">
        <v>0.3142456094012705</v>
      </c>
      <c r="Y10" s="538">
        <v>0.28179299367819194</v>
      </c>
      <c r="Z10" s="538">
        <v>0.29624512827157257</v>
      </c>
      <c r="AA10" s="538"/>
      <c r="AB10" s="538">
        <v>0.1545021598389047</v>
      </c>
      <c r="AC10" s="538">
        <v>0.13415097749129504</v>
      </c>
      <c r="AD10" s="538">
        <v>0.13000830604996816</v>
      </c>
      <c r="AE10" s="538">
        <v>0.13807768507917126</v>
      </c>
      <c r="AF10" s="538">
        <v>0.14072110384364006</v>
      </c>
      <c r="AG10" s="538">
        <v>0.12642030105126001</v>
      </c>
      <c r="AH10" s="538">
        <v>0.15247097547161625</v>
      </c>
      <c r="AI10" s="538">
        <v>0.12943588759313987</v>
      </c>
      <c r="AJ10" s="538">
        <v>0.14918034565389932</v>
      </c>
      <c r="AK10" s="538">
        <v>0.12925003117500822</v>
      </c>
      <c r="AL10" s="538">
        <v>0.15086744606096286</v>
      </c>
      <c r="AM10" s="18">
        <v>0.15391735316782978</v>
      </c>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row>
    <row r="11" spans="1:101">
      <c r="A11" t="s">
        <v>573</v>
      </c>
      <c r="C11" s="538">
        <v>5.2516901160200797</v>
      </c>
      <c r="D11" s="538">
        <v>0.59537840461596525</v>
      </c>
      <c r="E11" s="538">
        <v>0.11907568092319305</v>
      </c>
      <c r="F11" s="538">
        <v>0.71445408553915835</v>
      </c>
      <c r="G11" s="538">
        <v>0.91039261254608939</v>
      </c>
      <c r="H11" s="538">
        <v>4.0921772387692723</v>
      </c>
      <c r="I11" s="538">
        <v>1191.7340229636461</v>
      </c>
      <c r="J11" s="538">
        <v>-12.265035179702243</v>
      </c>
      <c r="K11" s="538">
        <v>-6.6853843794400083</v>
      </c>
      <c r="L11" s="599">
        <v>4.494958748978318</v>
      </c>
      <c r="M11" s="538">
        <v>4.9891616218967767E-2</v>
      </c>
      <c r="N11" s="538">
        <v>1.7982490631536358E-3</v>
      </c>
      <c r="O11" s="538">
        <v>0.29724796855839297</v>
      </c>
      <c r="P11" s="538">
        <v>0.27156454624512122</v>
      </c>
      <c r="Q11" s="538">
        <v>0.31621865379127323</v>
      </c>
      <c r="R11" s="538">
        <v>0.29132205176010867</v>
      </c>
      <c r="S11" s="538">
        <v>0.3029506573309515</v>
      </c>
      <c r="T11" s="538">
        <v>0.30315142385312238</v>
      </c>
      <c r="U11" s="538">
        <v>0.29290383209702803</v>
      </c>
      <c r="V11" s="538">
        <v>0.31536829794775101</v>
      </c>
      <c r="W11" s="538">
        <v>0.27967638060859878</v>
      </c>
      <c r="X11" s="538">
        <v>0.3142456094012705</v>
      </c>
      <c r="Y11" s="538">
        <v>0.28179299367819194</v>
      </c>
      <c r="Z11" s="538">
        <v>0.29624512827157257</v>
      </c>
      <c r="AA11" s="538"/>
      <c r="AB11" s="538">
        <v>0.1545021598389047</v>
      </c>
      <c r="AC11" s="538">
        <v>0.13415097749129504</v>
      </c>
      <c r="AD11" s="538">
        <v>0.13000830604996816</v>
      </c>
      <c r="AE11" s="538">
        <v>0.13807768507917126</v>
      </c>
      <c r="AF11" s="538">
        <v>0.14072110384364006</v>
      </c>
      <c r="AG11" s="538">
        <v>0.12642030105126001</v>
      </c>
      <c r="AH11" s="538">
        <v>0.15247097547161625</v>
      </c>
      <c r="AI11" s="538">
        <v>0.12943588759313987</v>
      </c>
      <c r="AJ11" s="538">
        <v>0.14918034565389932</v>
      </c>
      <c r="AK11" s="538">
        <v>0.12925003117500822</v>
      </c>
      <c r="AL11" s="538">
        <v>0.15086744606096286</v>
      </c>
      <c r="AM11" s="18">
        <v>0.15391735316782978</v>
      </c>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row>
    <row r="12" spans="1:101">
      <c r="A12" t="s">
        <v>553</v>
      </c>
      <c r="C12" s="538">
        <v>5.5575439658943351</v>
      </c>
      <c r="D12" s="538">
        <v>0.63250552514432767</v>
      </c>
      <c r="E12" s="538">
        <v>0.12650110502886555</v>
      </c>
      <c r="F12" s="538">
        <v>0.75900663017319325</v>
      </c>
      <c r="G12" s="538">
        <v>0.96716366099540529</v>
      </c>
      <c r="H12" s="538">
        <v>4.3305020704320167</v>
      </c>
      <c r="I12" s="538">
        <v>1196.3734558143462</v>
      </c>
      <c r="J12" s="538">
        <v>-12.237099266265041</v>
      </c>
      <c r="K12" s="538">
        <v>-6.6357268278525448</v>
      </c>
      <c r="L12" s="599">
        <v>4.4775276874805883</v>
      </c>
      <c r="M12" s="538">
        <v>5.2797260413485501E-2</v>
      </c>
      <c r="N12" s="538">
        <v>1.9029775194882078E-3</v>
      </c>
      <c r="O12" s="538">
        <v>0.31455943087669597</v>
      </c>
      <c r="P12" s="538">
        <v>0.28738022845855893</v>
      </c>
      <c r="Q12" s="538">
        <v>0.33463495226423234</v>
      </c>
      <c r="R12" s="538">
        <v>0.30828839385487428</v>
      </c>
      <c r="S12" s="538">
        <v>0.32059423926735631</v>
      </c>
      <c r="T12" s="538">
        <v>0.32080669825659497</v>
      </c>
      <c r="U12" s="538">
        <v>0.30996229569839712</v>
      </c>
      <c r="V12" s="538">
        <v>0.33373507243838091</v>
      </c>
      <c r="W12" s="538">
        <v>0.29596448897719813</v>
      </c>
      <c r="X12" s="538">
        <v>0.33254699949058103</v>
      </c>
      <c r="Y12" s="538">
        <v>0.29820437174506514</v>
      </c>
      <c r="Z12" s="538">
        <v>0.3134981860466225</v>
      </c>
      <c r="AA12" s="538"/>
      <c r="AB12" s="538">
        <v>0.16350023081351658</v>
      </c>
      <c r="AC12" s="538">
        <v>0.14196381336387345</v>
      </c>
      <c r="AD12" s="538">
        <v>0.13757987635258673</v>
      </c>
      <c r="AE12" s="538">
        <v>0.14611920897532873</v>
      </c>
      <c r="AF12" s="538">
        <v>0.14891657814206447</v>
      </c>
      <c r="AG12" s="538">
        <v>0.13378290907354995</v>
      </c>
      <c r="AH12" s="538">
        <v>0.1613507520410338</v>
      </c>
      <c r="AI12" s="538">
        <v>0.13697412074430965</v>
      </c>
      <c r="AJ12" s="538">
        <v>0.15786847881404761</v>
      </c>
      <c r="AK12" s="538">
        <v>0.13677744021055926</v>
      </c>
      <c r="AL12" s="538">
        <v>0.15965383447670037</v>
      </c>
      <c r="AM12" s="18">
        <v>0.16288136551220478</v>
      </c>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row>
    <row r="13" spans="1:101">
      <c r="A13" t="s">
        <v>560</v>
      </c>
      <c r="C13" s="538">
        <v>5.5575439658943351</v>
      </c>
      <c r="D13" s="538">
        <v>0.63250552514432767</v>
      </c>
      <c r="E13" s="538">
        <v>0.12650110502886555</v>
      </c>
      <c r="F13" s="538">
        <v>0.75900663017319325</v>
      </c>
      <c r="G13" s="538">
        <v>0.96716366099540529</v>
      </c>
      <c r="H13" s="538">
        <v>4.3305020704320167</v>
      </c>
      <c r="I13" s="538">
        <v>1196.3734558143462</v>
      </c>
      <c r="J13" s="538">
        <v>-12.237099266265041</v>
      </c>
      <c r="K13" s="538">
        <v>-6.6357268278525448</v>
      </c>
      <c r="L13" s="599">
        <v>4.4775276874805883</v>
      </c>
      <c r="M13" s="538">
        <v>5.2797260413485501E-2</v>
      </c>
      <c r="N13" s="538">
        <v>1.9029775194882078E-3</v>
      </c>
      <c r="O13" s="538">
        <v>0.31455943087669597</v>
      </c>
      <c r="P13" s="538">
        <v>0.28738022845855893</v>
      </c>
      <c r="Q13" s="538">
        <v>0.33463495226423234</v>
      </c>
      <c r="R13" s="538">
        <v>0.30828839385487428</v>
      </c>
      <c r="S13" s="538">
        <v>0.32059423926735631</v>
      </c>
      <c r="T13" s="538">
        <v>0.32080669825659497</v>
      </c>
      <c r="U13" s="538">
        <v>0.30996229569839712</v>
      </c>
      <c r="V13" s="538">
        <v>0.33373507243838091</v>
      </c>
      <c r="W13" s="538">
        <v>0.29596448897719813</v>
      </c>
      <c r="X13" s="538">
        <v>0.33254699949058103</v>
      </c>
      <c r="Y13" s="538">
        <v>0.29820437174506514</v>
      </c>
      <c r="Z13" s="538">
        <v>0.3134981860466225</v>
      </c>
      <c r="AA13" s="538"/>
      <c r="AB13" s="538">
        <v>0.16350023081351658</v>
      </c>
      <c r="AC13" s="538">
        <v>0.14196381336387345</v>
      </c>
      <c r="AD13" s="538">
        <v>0.13757987635258673</v>
      </c>
      <c r="AE13" s="538">
        <v>0.14611920897532873</v>
      </c>
      <c r="AF13" s="538">
        <v>0.14891657814206447</v>
      </c>
      <c r="AG13" s="538">
        <v>0.13378290907354995</v>
      </c>
      <c r="AH13" s="538">
        <v>0.1613507520410338</v>
      </c>
      <c r="AI13" s="538">
        <v>0.13697412074430965</v>
      </c>
      <c r="AJ13" s="538">
        <v>0.15786847881404761</v>
      </c>
      <c r="AK13" s="538">
        <v>0.13677744021055926</v>
      </c>
      <c r="AL13" s="538">
        <v>0.15965383447670037</v>
      </c>
      <c r="AM13" s="18">
        <v>0.16288136551220478</v>
      </c>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row>
    <row r="14" spans="1:101">
      <c r="A14" t="s">
        <v>567</v>
      </c>
      <c r="C14" s="538">
        <v>5.5575439658943351</v>
      </c>
      <c r="D14" s="538">
        <v>0.63250552514432767</v>
      </c>
      <c r="E14" s="538">
        <v>0.12650110502886555</v>
      </c>
      <c r="F14" s="538">
        <v>0.75900663017319325</v>
      </c>
      <c r="G14" s="538">
        <v>0.96716366099540529</v>
      </c>
      <c r="H14" s="538">
        <v>4.3305020704320167</v>
      </c>
      <c r="I14" s="538">
        <v>1196.3734558143462</v>
      </c>
      <c r="J14" s="538">
        <v>-12.237099266265041</v>
      </c>
      <c r="K14" s="538">
        <v>-6.6357268278525448</v>
      </c>
      <c r="L14" s="599">
        <v>4.4775276874805883</v>
      </c>
      <c r="M14" s="538">
        <v>5.2797260413485501E-2</v>
      </c>
      <c r="N14" s="538">
        <v>1.9029775194882078E-3</v>
      </c>
      <c r="O14" s="538">
        <v>0.31455943087669597</v>
      </c>
      <c r="P14" s="538">
        <v>0.28738022845855893</v>
      </c>
      <c r="Q14" s="538">
        <v>0.33463495226423234</v>
      </c>
      <c r="R14" s="538">
        <v>0.30828839385487428</v>
      </c>
      <c r="S14" s="538">
        <v>0.32059423926735631</v>
      </c>
      <c r="T14" s="538">
        <v>0.32080669825659497</v>
      </c>
      <c r="U14" s="538">
        <v>0.30996229569839712</v>
      </c>
      <c r="V14" s="538">
        <v>0.33373507243838091</v>
      </c>
      <c r="W14" s="538">
        <v>0.29596448897719813</v>
      </c>
      <c r="X14" s="538">
        <v>0.33254699949058103</v>
      </c>
      <c r="Y14" s="538">
        <v>0.29820437174506514</v>
      </c>
      <c r="Z14" s="538">
        <v>0.3134981860466225</v>
      </c>
      <c r="AA14" s="538"/>
      <c r="AB14" s="538">
        <v>0.16350023081351658</v>
      </c>
      <c r="AC14" s="538">
        <v>0.14196381336387345</v>
      </c>
      <c r="AD14" s="538">
        <v>0.13757987635258673</v>
      </c>
      <c r="AE14" s="538">
        <v>0.14611920897532873</v>
      </c>
      <c r="AF14" s="538">
        <v>0.14891657814206447</v>
      </c>
      <c r="AG14" s="538">
        <v>0.13378290907354995</v>
      </c>
      <c r="AH14" s="538">
        <v>0.1613507520410338</v>
      </c>
      <c r="AI14" s="538">
        <v>0.13697412074430965</v>
      </c>
      <c r="AJ14" s="538">
        <v>0.15786847881404761</v>
      </c>
      <c r="AK14" s="538">
        <v>0.13677744021055926</v>
      </c>
      <c r="AL14" s="538">
        <v>0.15965383447670037</v>
      </c>
      <c r="AM14" s="18">
        <v>0.16288136551220478</v>
      </c>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row>
    <row r="15" spans="1:101">
      <c r="A15" t="s">
        <v>574</v>
      </c>
      <c r="C15" s="538">
        <v>5.5575439658943351</v>
      </c>
      <c r="D15" s="538">
        <v>0.63250552514432767</v>
      </c>
      <c r="E15" s="538">
        <v>0.12650110502886555</v>
      </c>
      <c r="F15" s="538">
        <v>0.75900663017319325</v>
      </c>
      <c r="G15" s="538">
        <v>0.96716366099540529</v>
      </c>
      <c r="H15" s="538">
        <v>4.3305020704320167</v>
      </c>
      <c r="I15" s="538">
        <v>1196.3734558143462</v>
      </c>
      <c r="J15" s="538">
        <v>-12.237099266265041</v>
      </c>
      <c r="K15" s="538">
        <v>-6.6357268278525448</v>
      </c>
      <c r="L15" s="599">
        <v>4.4775276874805883</v>
      </c>
      <c r="M15" s="538">
        <v>5.2797260413485501E-2</v>
      </c>
      <c r="N15" s="538">
        <v>1.9029775194882078E-3</v>
      </c>
      <c r="O15" s="538">
        <v>0.31455943087669597</v>
      </c>
      <c r="P15" s="538">
        <v>0.28738022845855893</v>
      </c>
      <c r="Q15" s="538">
        <v>0.33463495226423234</v>
      </c>
      <c r="R15" s="538">
        <v>0.30828839385487428</v>
      </c>
      <c r="S15" s="538">
        <v>0.32059423926735631</v>
      </c>
      <c r="T15" s="538">
        <v>0.32080669825659497</v>
      </c>
      <c r="U15" s="538">
        <v>0.30996229569839712</v>
      </c>
      <c r="V15" s="538">
        <v>0.33373507243838091</v>
      </c>
      <c r="W15" s="538">
        <v>0.29596448897719813</v>
      </c>
      <c r="X15" s="538">
        <v>0.33254699949058103</v>
      </c>
      <c r="Y15" s="538">
        <v>0.29820437174506514</v>
      </c>
      <c r="Z15" s="538">
        <v>0.3134981860466225</v>
      </c>
      <c r="AA15" s="538"/>
      <c r="AB15" s="538">
        <v>0.16350023081351658</v>
      </c>
      <c r="AC15" s="538">
        <v>0.14196381336387345</v>
      </c>
      <c r="AD15" s="538">
        <v>0.13757987635258673</v>
      </c>
      <c r="AE15" s="538">
        <v>0.14611920897532873</v>
      </c>
      <c r="AF15" s="538">
        <v>0.14891657814206447</v>
      </c>
      <c r="AG15" s="538">
        <v>0.13378290907354995</v>
      </c>
      <c r="AH15" s="538">
        <v>0.1613507520410338</v>
      </c>
      <c r="AI15" s="538">
        <v>0.13697412074430965</v>
      </c>
      <c r="AJ15" s="538">
        <v>0.15786847881404761</v>
      </c>
      <c r="AK15" s="538">
        <v>0.13677744021055926</v>
      </c>
      <c r="AL15" s="538">
        <v>0.15965383447670037</v>
      </c>
      <c r="AM15" s="18">
        <v>0.16288136551220478</v>
      </c>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row>
    <row r="16" spans="1:101">
      <c r="A16" t="s">
        <v>550</v>
      </c>
      <c r="C16" s="538">
        <v>4.1447481480335853</v>
      </c>
      <c r="D16" s="538">
        <v>0.51447889576687988</v>
      </c>
      <c r="E16" s="538">
        <v>0.10289577915337599</v>
      </c>
      <c r="F16" s="538">
        <v>0.61737467492025588</v>
      </c>
      <c r="G16" s="538">
        <v>0.78668924231330317</v>
      </c>
      <c r="H16" s="538">
        <v>3.2296353473094532</v>
      </c>
      <c r="I16" s="538">
        <v>1304.8325155455545</v>
      </c>
      <c r="J16" s="538">
        <v>-11.584023124927203</v>
      </c>
      <c r="K16" s="538">
        <v>-5.4748497277739405</v>
      </c>
      <c r="L16" s="599">
        <v>4.1053508470670481</v>
      </c>
      <c r="M16" s="538">
        <v>3.9375549462670932E-2</v>
      </c>
      <c r="N16" s="538">
        <v>1.4192173013927816E-3</v>
      </c>
      <c r="O16" s="538">
        <v>0.23459456669595202</v>
      </c>
      <c r="P16" s="538">
        <v>0.21432465078005061</v>
      </c>
      <c r="Q16" s="538">
        <v>0.24956664439833867</v>
      </c>
      <c r="R16" s="538">
        <v>0.22991770417503399</v>
      </c>
      <c r="S16" s="538">
        <v>0.23909525280017827</v>
      </c>
      <c r="T16" s="538">
        <v>0.23925370210936664</v>
      </c>
      <c r="U16" s="538">
        <v>0.23116607964601685</v>
      </c>
      <c r="V16" s="538">
        <v>0.24889552505775592</v>
      </c>
      <c r="W16" s="538">
        <v>0.22072668702217724</v>
      </c>
      <c r="X16" s="538">
        <v>0.24800947482039537</v>
      </c>
      <c r="Y16" s="538">
        <v>0.22239716412697422</v>
      </c>
      <c r="Z16" s="538">
        <v>0.23380310331373666</v>
      </c>
      <c r="AA16" s="538"/>
      <c r="AB16" s="538">
        <v>0.12193646744427233</v>
      </c>
      <c r="AC16" s="538">
        <v>0.10587487137099283</v>
      </c>
      <c r="AD16" s="538">
        <v>0.10260538489996633</v>
      </c>
      <c r="AE16" s="538">
        <v>0.10897391446819928</v>
      </c>
      <c r="AF16" s="538">
        <v>0.11106015809386323</v>
      </c>
      <c r="AG16" s="538">
        <v>9.9773653258343697E-2</v>
      </c>
      <c r="AH16" s="538">
        <v>0.12033341253077838</v>
      </c>
      <c r="AI16" s="538">
        <v>0.10215361979455732</v>
      </c>
      <c r="AJ16" s="538">
        <v>0.1177363758546726</v>
      </c>
      <c r="AK16" s="538">
        <v>0.10200693786401052</v>
      </c>
      <c r="AL16" s="538">
        <v>0.11906787221741355</v>
      </c>
      <c r="AM16" s="18">
        <v>0.12147492529053758</v>
      </c>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row>
    <row r="17" spans="1:101">
      <c r="A17" t="s">
        <v>557</v>
      </c>
      <c r="C17" s="538">
        <v>4.1447481480335853</v>
      </c>
      <c r="D17" s="538">
        <v>0.51447889576687988</v>
      </c>
      <c r="E17" s="538">
        <v>0.10289577915337599</v>
      </c>
      <c r="F17" s="538">
        <v>0.61737467492025588</v>
      </c>
      <c r="G17" s="538">
        <v>0.78668924231330317</v>
      </c>
      <c r="H17" s="538">
        <v>3.2296353473094532</v>
      </c>
      <c r="I17" s="538">
        <v>1304.8325155455545</v>
      </c>
      <c r="J17" s="538">
        <v>-11.584023124927203</v>
      </c>
      <c r="K17" s="538">
        <v>-5.4748497277739405</v>
      </c>
      <c r="L17" s="599">
        <v>4.1053508470670481</v>
      </c>
      <c r="M17" s="538">
        <v>3.9375549462670932E-2</v>
      </c>
      <c r="N17" s="538">
        <v>1.4192173013927816E-3</v>
      </c>
      <c r="O17" s="538">
        <v>0.23459456669595202</v>
      </c>
      <c r="P17" s="538">
        <v>0.21432465078005061</v>
      </c>
      <c r="Q17" s="538">
        <v>0.24956664439833867</v>
      </c>
      <c r="R17" s="538">
        <v>0.22991770417503399</v>
      </c>
      <c r="S17" s="538">
        <v>0.23909525280017827</v>
      </c>
      <c r="T17" s="538">
        <v>0.23925370210936664</v>
      </c>
      <c r="U17" s="538">
        <v>0.23116607964601685</v>
      </c>
      <c r="V17" s="538">
        <v>0.24889552505775592</v>
      </c>
      <c r="W17" s="538">
        <v>0.22072668702217724</v>
      </c>
      <c r="X17" s="538">
        <v>0.24800947482039537</v>
      </c>
      <c r="Y17" s="538">
        <v>0.22239716412697422</v>
      </c>
      <c r="Z17" s="538">
        <v>0.23380310331373666</v>
      </c>
      <c r="AA17" s="538"/>
      <c r="AB17" s="538">
        <v>0.12193646744427233</v>
      </c>
      <c r="AC17" s="538">
        <v>0.10587487137099283</v>
      </c>
      <c r="AD17" s="538">
        <v>0.10260538489996633</v>
      </c>
      <c r="AE17" s="538">
        <v>0.10897391446819928</v>
      </c>
      <c r="AF17" s="538">
        <v>0.11106015809386323</v>
      </c>
      <c r="AG17" s="538">
        <v>9.9773653258343697E-2</v>
      </c>
      <c r="AH17" s="538">
        <v>0.12033341253077838</v>
      </c>
      <c r="AI17" s="538">
        <v>0.10215361979455732</v>
      </c>
      <c r="AJ17" s="538">
        <v>0.1177363758546726</v>
      </c>
      <c r="AK17" s="538">
        <v>0.10200693786401052</v>
      </c>
      <c r="AL17" s="538">
        <v>0.11906787221741355</v>
      </c>
      <c r="AM17" s="18">
        <v>0.12147492529053758</v>
      </c>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row>
    <row r="18" spans="1:101">
      <c r="A18" t="s">
        <v>564</v>
      </c>
      <c r="C18" s="538">
        <v>4.1447481480335853</v>
      </c>
      <c r="D18" s="538">
        <v>0.51447889576687988</v>
      </c>
      <c r="E18" s="538">
        <v>0.10289577915337599</v>
      </c>
      <c r="F18" s="538">
        <v>0.61737467492025588</v>
      </c>
      <c r="G18" s="538">
        <v>0.78668924231330317</v>
      </c>
      <c r="H18" s="538">
        <v>3.2296353473094532</v>
      </c>
      <c r="I18" s="538">
        <v>1304.8325155455545</v>
      </c>
      <c r="J18" s="538">
        <v>-11.584023124927203</v>
      </c>
      <c r="K18" s="538">
        <v>-5.4748497277739405</v>
      </c>
      <c r="L18" s="599">
        <v>4.1053508470670481</v>
      </c>
      <c r="M18" s="538">
        <v>3.9375549462670932E-2</v>
      </c>
      <c r="N18" s="538">
        <v>1.4192173013927816E-3</v>
      </c>
      <c r="O18" s="538">
        <v>0.23459456669595202</v>
      </c>
      <c r="P18" s="538">
        <v>0.21432465078005061</v>
      </c>
      <c r="Q18" s="538">
        <v>0.24956664439833867</v>
      </c>
      <c r="R18" s="538">
        <v>0.22991770417503399</v>
      </c>
      <c r="S18" s="538">
        <v>0.23909525280017827</v>
      </c>
      <c r="T18" s="538">
        <v>0.23925370210936664</v>
      </c>
      <c r="U18" s="538">
        <v>0.23116607964601685</v>
      </c>
      <c r="V18" s="538">
        <v>0.24889552505775592</v>
      </c>
      <c r="W18" s="538">
        <v>0.22072668702217724</v>
      </c>
      <c r="X18" s="538">
        <v>0.24800947482039537</v>
      </c>
      <c r="Y18" s="538">
        <v>0.22239716412697422</v>
      </c>
      <c r="Z18" s="538">
        <v>0.23380310331373666</v>
      </c>
      <c r="AA18" s="538"/>
      <c r="AB18" s="538">
        <v>0.12193646744427233</v>
      </c>
      <c r="AC18" s="538">
        <v>0.10587487137099283</v>
      </c>
      <c r="AD18" s="538">
        <v>0.10260538489996633</v>
      </c>
      <c r="AE18" s="538">
        <v>0.10897391446819928</v>
      </c>
      <c r="AF18" s="538">
        <v>0.11106015809386323</v>
      </c>
      <c r="AG18" s="538">
        <v>9.9773653258343697E-2</v>
      </c>
      <c r="AH18" s="538">
        <v>0.12033341253077838</v>
      </c>
      <c r="AI18" s="538">
        <v>0.10215361979455732</v>
      </c>
      <c r="AJ18" s="538">
        <v>0.1177363758546726</v>
      </c>
      <c r="AK18" s="538">
        <v>0.10200693786401052</v>
      </c>
      <c r="AL18" s="538">
        <v>0.11906787221741355</v>
      </c>
      <c r="AM18" s="18">
        <v>0.12147492529053758</v>
      </c>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row>
    <row r="19" spans="1:101">
      <c r="A19" t="s">
        <v>571</v>
      </c>
      <c r="C19" s="538">
        <v>4.1447481480335853</v>
      </c>
      <c r="D19" s="538">
        <v>0.51447889576687988</v>
      </c>
      <c r="E19" s="538">
        <v>0.10289577915337599</v>
      </c>
      <c r="F19" s="538">
        <v>0.61737467492025588</v>
      </c>
      <c r="G19" s="538">
        <v>0.78668924231330317</v>
      </c>
      <c r="H19" s="538">
        <v>3.2296353473094532</v>
      </c>
      <c r="I19" s="538">
        <v>1304.8325155455545</v>
      </c>
      <c r="J19" s="538">
        <v>-11.584023124927203</v>
      </c>
      <c r="K19" s="538">
        <v>-5.4748497277739405</v>
      </c>
      <c r="L19" s="599">
        <v>4.1053508470670481</v>
      </c>
      <c r="M19" s="538">
        <v>3.9375549462670932E-2</v>
      </c>
      <c r="N19" s="538">
        <v>1.4192173013927816E-3</v>
      </c>
      <c r="O19" s="538">
        <v>0.23459456669595202</v>
      </c>
      <c r="P19" s="538">
        <v>0.21432465078005061</v>
      </c>
      <c r="Q19" s="538">
        <v>0.24956664439833867</v>
      </c>
      <c r="R19" s="538">
        <v>0.22991770417503399</v>
      </c>
      <c r="S19" s="538">
        <v>0.23909525280017827</v>
      </c>
      <c r="T19" s="538">
        <v>0.23925370210936664</v>
      </c>
      <c r="U19" s="538">
        <v>0.23116607964601685</v>
      </c>
      <c r="V19" s="538">
        <v>0.24889552505775592</v>
      </c>
      <c r="W19" s="538">
        <v>0.22072668702217724</v>
      </c>
      <c r="X19" s="538">
        <v>0.24800947482039537</v>
      </c>
      <c r="Y19" s="538">
        <v>0.22239716412697422</v>
      </c>
      <c r="Z19" s="538">
        <v>0.23380310331373666</v>
      </c>
      <c r="AA19" s="538"/>
      <c r="AB19" s="538">
        <v>0.12193646744427233</v>
      </c>
      <c r="AC19" s="538">
        <v>0.10587487137099283</v>
      </c>
      <c r="AD19" s="538">
        <v>0.10260538489996633</v>
      </c>
      <c r="AE19" s="538">
        <v>0.10897391446819928</v>
      </c>
      <c r="AF19" s="538">
        <v>0.11106015809386323</v>
      </c>
      <c r="AG19" s="538">
        <v>9.9773653258343697E-2</v>
      </c>
      <c r="AH19" s="538">
        <v>0.12033341253077838</v>
      </c>
      <c r="AI19" s="538">
        <v>0.10215361979455732</v>
      </c>
      <c r="AJ19" s="538">
        <v>0.1177363758546726</v>
      </c>
      <c r="AK19" s="538">
        <v>0.10200693786401052</v>
      </c>
      <c r="AL19" s="538">
        <v>0.11906787221741355</v>
      </c>
      <c r="AM19" s="18">
        <v>0.12147492529053758</v>
      </c>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row>
    <row r="20" spans="1:101">
      <c r="A20" t="s">
        <v>549</v>
      </c>
      <c r="C20" s="538">
        <v>7.4915370557043142</v>
      </c>
      <c r="D20" s="538">
        <v>0.92996697553610974</v>
      </c>
      <c r="E20" s="538">
        <v>0.18599339510722196</v>
      </c>
      <c r="F20" s="538">
        <v>1.1159603706433316</v>
      </c>
      <c r="G20" s="538">
        <v>1.4220117120069311</v>
      </c>
      <c r="H20" s="538">
        <v>5.8374916922901932</v>
      </c>
      <c r="I20" s="538">
        <v>1304.9141683670837</v>
      </c>
      <c r="J20" s="538">
        <v>-11.583531460056172</v>
      </c>
      <c r="K20" s="538">
        <v>-5.4739757676741085</v>
      </c>
      <c r="L20" s="599">
        <v>4.105093961604263</v>
      </c>
      <c r="M20" s="538">
        <v>7.1170401035891229E-2</v>
      </c>
      <c r="N20" s="538">
        <v>2.5652026670245219E-3</v>
      </c>
      <c r="O20" s="538">
        <v>0.4240242897034478</v>
      </c>
      <c r="P20" s="538">
        <v>0.38738688236857016</v>
      </c>
      <c r="Q20" s="538">
        <v>0.45108597618047253</v>
      </c>
      <c r="R20" s="538">
        <v>0.41557096814360467</v>
      </c>
      <c r="S20" s="538">
        <v>0.43215917643761542</v>
      </c>
      <c r="T20" s="538">
        <v>0.43244556992374283</v>
      </c>
      <c r="U20" s="538">
        <v>0.41782737812710086</v>
      </c>
      <c r="V20" s="538">
        <v>0.44987294339073336</v>
      </c>
      <c r="W20" s="538">
        <v>0.39895841579518093</v>
      </c>
      <c r="X20" s="538">
        <v>0.44827142794291264</v>
      </c>
      <c r="Y20" s="538">
        <v>0.40197776478439018</v>
      </c>
      <c r="Z20" s="538">
        <v>0.42259373782325393</v>
      </c>
      <c r="AA20" s="538"/>
      <c r="AB20" s="538">
        <v>0.22039736352469122</v>
      </c>
      <c r="AC20" s="538">
        <v>0.19136639762298374</v>
      </c>
      <c r="AD20" s="538">
        <v>0.18545687594011875</v>
      </c>
      <c r="AE20" s="538">
        <v>0.19696784682345242</v>
      </c>
      <c r="AF20" s="538">
        <v>0.20073868424726632</v>
      </c>
      <c r="AG20" s="538">
        <v>0.18033858605437719</v>
      </c>
      <c r="AH20" s="538">
        <v>0.21749987859729789</v>
      </c>
      <c r="AI20" s="538">
        <v>0.18464032089098953</v>
      </c>
      <c r="AJ20" s="538">
        <v>0.21280579446982198</v>
      </c>
      <c r="AK20" s="538">
        <v>0.18437519667141183</v>
      </c>
      <c r="AL20" s="538">
        <v>0.21521244355554311</v>
      </c>
      <c r="AM20" s="18">
        <v>0.21956313668533214</v>
      </c>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row>
    <row r="21" spans="1:101">
      <c r="A21" t="s">
        <v>556</v>
      </c>
      <c r="C21" s="538">
        <v>7.4915370557043142</v>
      </c>
      <c r="D21" s="538">
        <v>0.92996697553610974</v>
      </c>
      <c r="E21" s="538">
        <v>0.18599339510722196</v>
      </c>
      <c r="F21" s="538">
        <v>1.1159603706433316</v>
      </c>
      <c r="G21" s="538">
        <v>1.4220117120069311</v>
      </c>
      <c r="H21" s="538">
        <v>5.8374916922901932</v>
      </c>
      <c r="I21" s="538">
        <v>1304.9141683670837</v>
      </c>
      <c r="J21" s="538">
        <v>-11.583531460056172</v>
      </c>
      <c r="K21" s="538">
        <v>-5.4739757676741085</v>
      </c>
      <c r="L21" s="599">
        <v>4.105093961604263</v>
      </c>
      <c r="M21" s="538">
        <v>7.1170401035891229E-2</v>
      </c>
      <c r="N21" s="538">
        <v>2.5652026670245219E-3</v>
      </c>
      <c r="O21" s="538">
        <v>0.4240242897034478</v>
      </c>
      <c r="P21" s="538">
        <v>0.38738688236857016</v>
      </c>
      <c r="Q21" s="538">
        <v>0.45108597618047253</v>
      </c>
      <c r="R21" s="538">
        <v>0.41557096814360467</v>
      </c>
      <c r="S21" s="538">
        <v>0.43215917643761542</v>
      </c>
      <c r="T21" s="538">
        <v>0.43244556992374283</v>
      </c>
      <c r="U21" s="538">
        <v>0.41782737812710086</v>
      </c>
      <c r="V21" s="538">
        <v>0.44987294339073336</v>
      </c>
      <c r="W21" s="538">
        <v>0.39895841579518093</v>
      </c>
      <c r="X21" s="538">
        <v>0.44827142794291264</v>
      </c>
      <c r="Y21" s="538">
        <v>0.40197776478439018</v>
      </c>
      <c r="Z21" s="538">
        <v>0.42259373782325393</v>
      </c>
      <c r="AA21" s="538"/>
      <c r="AB21" s="538">
        <v>0.22039736352469122</v>
      </c>
      <c r="AC21" s="538">
        <v>0.19136639762298374</v>
      </c>
      <c r="AD21" s="538">
        <v>0.18545687594011875</v>
      </c>
      <c r="AE21" s="538">
        <v>0.19696784682345242</v>
      </c>
      <c r="AF21" s="538">
        <v>0.20073868424726632</v>
      </c>
      <c r="AG21" s="538">
        <v>0.18033858605437719</v>
      </c>
      <c r="AH21" s="538">
        <v>0.21749987859729789</v>
      </c>
      <c r="AI21" s="538">
        <v>0.18464032089098953</v>
      </c>
      <c r="AJ21" s="538">
        <v>0.21280579446982198</v>
      </c>
      <c r="AK21" s="538">
        <v>0.18437519667141183</v>
      </c>
      <c r="AL21" s="538">
        <v>0.21521244355554311</v>
      </c>
      <c r="AM21" s="18">
        <v>0.21956313668533214</v>
      </c>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row>
    <row r="22" spans="1:101">
      <c r="A22" t="s">
        <v>563</v>
      </c>
      <c r="C22" s="538">
        <v>7.4915370557043142</v>
      </c>
      <c r="D22" s="538">
        <v>0.92996697553610974</v>
      </c>
      <c r="E22" s="538">
        <v>0.18599339510722196</v>
      </c>
      <c r="F22" s="538">
        <v>1.1159603706433316</v>
      </c>
      <c r="G22" s="538">
        <v>1.4220117120069311</v>
      </c>
      <c r="H22" s="538">
        <v>5.8374916922901932</v>
      </c>
      <c r="I22" s="538">
        <v>1304.9141683670837</v>
      </c>
      <c r="J22" s="538">
        <v>-11.583531460056172</v>
      </c>
      <c r="K22" s="538">
        <v>-5.4739757676741085</v>
      </c>
      <c r="L22" s="599">
        <v>4.105093961604263</v>
      </c>
      <c r="M22" s="538">
        <v>7.1170401035891229E-2</v>
      </c>
      <c r="N22" s="538">
        <v>2.5652026670245219E-3</v>
      </c>
      <c r="O22" s="538">
        <v>0.4240242897034478</v>
      </c>
      <c r="P22" s="538">
        <v>0.38738688236857016</v>
      </c>
      <c r="Q22" s="538">
        <v>0.45108597618047253</v>
      </c>
      <c r="R22" s="538">
        <v>0.41557096814360467</v>
      </c>
      <c r="S22" s="538">
        <v>0.43215917643761542</v>
      </c>
      <c r="T22" s="538">
        <v>0.43244556992374283</v>
      </c>
      <c r="U22" s="538">
        <v>0.41782737812710086</v>
      </c>
      <c r="V22" s="538">
        <v>0.44987294339073336</v>
      </c>
      <c r="W22" s="538">
        <v>0.39895841579518093</v>
      </c>
      <c r="X22" s="538">
        <v>0.44827142794291264</v>
      </c>
      <c r="Y22" s="538">
        <v>0.40197776478439018</v>
      </c>
      <c r="Z22" s="538">
        <v>0.42259373782325393</v>
      </c>
      <c r="AA22" s="538"/>
      <c r="AB22" s="538">
        <v>0.22039736352469122</v>
      </c>
      <c r="AC22" s="538">
        <v>0.19136639762298374</v>
      </c>
      <c r="AD22" s="538">
        <v>0.18545687594011875</v>
      </c>
      <c r="AE22" s="538">
        <v>0.19696784682345242</v>
      </c>
      <c r="AF22" s="538">
        <v>0.20073868424726632</v>
      </c>
      <c r="AG22" s="538">
        <v>0.18033858605437719</v>
      </c>
      <c r="AH22" s="538">
        <v>0.21749987859729789</v>
      </c>
      <c r="AI22" s="538">
        <v>0.18464032089098953</v>
      </c>
      <c r="AJ22" s="538">
        <v>0.21280579446982198</v>
      </c>
      <c r="AK22" s="538">
        <v>0.18437519667141183</v>
      </c>
      <c r="AL22" s="538">
        <v>0.21521244355554311</v>
      </c>
      <c r="AM22" s="18">
        <v>0.21956313668533214</v>
      </c>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row>
    <row r="23" spans="1:101">
      <c r="A23" t="s">
        <v>570</v>
      </c>
      <c r="C23" s="538">
        <v>7.4915370557043142</v>
      </c>
      <c r="D23" s="538">
        <v>0.92996697553610974</v>
      </c>
      <c r="E23" s="538">
        <v>0.18599339510722196</v>
      </c>
      <c r="F23" s="538">
        <v>1.1159603706433316</v>
      </c>
      <c r="G23" s="538">
        <v>1.4220117120069311</v>
      </c>
      <c r="H23" s="538">
        <v>5.8374916922901932</v>
      </c>
      <c r="I23" s="538">
        <v>1304.9141683670837</v>
      </c>
      <c r="J23" s="538">
        <v>-11.583531460056172</v>
      </c>
      <c r="K23" s="538">
        <v>-5.4739757676741085</v>
      </c>
      <c r="L23" s="599">
        <v>4.105093961604263</v>
      </c>
      <c r="M23" s="538">
        <v>7.1170401035891229E-2</v>
      </c>
      <c r="N23" s="538">
        <v>2.5652026670245219E-3</v>
      </c>
      <c r="O23" s="538">
        <v>0.4240242897034478</v>
      </c>
      <c r="P23" s="538">
        <v>0.38738688236857016</v>
      </c>
      <c r="Q23" s="538">
        <v>0.45108597618047253</v>
      </c>
      <c r="R23" s="538">
        <v>0.41557096814360467</v>
      </c>
      <c r="S23" s="538">
        <v>0.43215917643761542</v>
      </c>
      <c r="T23" s="538">
        <v>0.43244556992374283</v>
      </c>
      <c r="U23" s="538">
        <v>0.41782737812710086</v>
      </c>
      <c r="V23" s="538">
        <v>0.44987294339073336</v>
      </c>
      <c r="W23" s="538">
        <v>0.39895841579518093</v>
      </c>
      <c r="X23" s="538">
        <v>0.44827142794291264</v>
      </c>
      <c r="Y23" s="538">
        <v>0.40197776478439018</v>
      </c>
      <c r="Z23" s="538">
        <v>0.42259373782325393</v>
      </c>
      <c r="AA23" s="538"/>
      <c r="AB23" s="538">
        <v>0.22039736352469122</v>
      </c>
      <c r="AC23" s="538">
        <v>0.19136639762298374</v>
      </c>
      <c r="AD23" s="538">
        <v>0.18545687594011875</v>
      </c>
      <c r="AE23" s="538">
        <v>0.19696784682345242</v>
      </c>
      <c r="AF23" s="538">
        <v>0.20073868424726632</v>
      </c>
      <c r="AG23" s="538">
        <v>0.18033858605437719</v>
      </c>
      <c r="AH23" s="538">
        <v>0.21749987859729789</v>
      </c>
      <c r="AI23" s="538">
        <v>0.18464032089098953</v>
      </c>
      <c r="AJ23" s="538">
        <v>0.21280579446982198</v>
      </c>
      <c r="AK23" s="538">
        <v>0.18437519667141183</v>
      </c>
      <c r="AL23" s="538">
        <v>0.21521244355554311</v>
      </c>
      <c r="AM23" s="18">
        <v>0.21956313668533214</v>
      </c>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row>
    <row r="24" spans="1:101">
      <c r="A24" t="s">
        <v>555</v>
      </c>
      <c r="C24" s="538">
        <v>3.0449198475183858</v>
      </c>
      <c r="D24" s="538">
        <v>0.3776042842716732</v>
      </c>
      <c r="E24" s="538">
        <v>7.5520856854334642E-2</v>
      </c>
      <c r="F24" s="538">
        <v>0.45312514112600782</v>
      </c>
      <c r="G24" s="538">
        <v>0.57739439019193894</v>
      </c>
      <c r="H24" s="538">
        <v>1.9915303963366913</v>
      </c>
      <c r="I24" s="538">
        <v>1303.6061489430915</v>
      </c>
      <c r="J24" s="538">
        <v>-2.1522528767372697</v>
      </c>
      <c r="K24" s="538">
        <v>3.9511787212703759</v>
      </c>
      <c r="L24" s="599">
        <v>3.4491682464643647</v>
      </c>
      <c r="M24" s="538">
        <v>2.8927027493569818E-2</v>
      </c>
      <c r="N24" s="538">
        <v>5.3639795134547634E-4</v>
      </c>
      <c r="O24" s="538">
        <v>0.18333752840942297</v>
      </c>
      <c r="P24" s="538">
        <v>0.16592347912039981</v>
      </c>
      <c r="Q24" s="538">
        <v>0.19318449776440541</v>
      </c>
      <c r="R24" s="538">
        <v>0.17964715016625954</v>
      </c>
      <c r="S24" s="538">
        <v>0.18375050207065927</v>
      </c>
      <c r="T24" s="538">
        <v>0.17941070895254463</v>
      </c>
      <c r="U24" s="538">
        <v>0.17064381902397849</v>
      </c>
      <c r="V24" s="538">
        <v>0.18319961533139134</v>
      </c>
      <c r="W24" s="538">
        <v>0.16864684499917862</v>
      </c>
      <c r="X24" s="538">
        <v>0.19135806705873457</v>
      </c>
      <c r="Y24" s="538">
        <v>0.17084650189576633</v>
      </c>
      <c r="Z24" s="538">
        <v>0.18096578199425445</v>
      </c>
      <c r="AA24" s="538"/>
      <c r="AB24" s="538">
        <v>8.242895176955245E-2</v>
      </c>
      <c r="AC24" s="538">
        <v>7.1539897335657465E-2</v>
      </c>
      <c r="AD24" s="538">
        <v>7.0164469329157875E-2</v>
      </c>
      <c r="AE24" s="538">
        <v>7.2869417745288489E-2</v>
      </c>
      <c r="AF24" s="538">
        <v>7.3539717357862924E-2</v>
      </c>
      <c r="AG24" s="538">
        <v>6.7101501624347415E-2</v>
      </c>
      <c r="AH24" s="538">
        <v>7.8776395419651382E-2</v>
      </c>
      <c r="AI24" s="538">
        <v>6.7750749859474282E-2</v>
      </c>
      <c r="AJ24" s="538">
        <v>7.8993309965400327E-2</v>
      </c>
      <c r="AK24" s="538">
        <v>6.856373206961057E-2</v>
      </c>
      <c r="AL24" s="538">
        <v>8.0102996826257503E-2</v>
      </c>
      <c r="AM24" s="18">
        <v>8.2174211429129451E-2</v>
      </c>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row>
    <row r="25" spans="1:101">
      <c r="A25" t="s">
        <v>562</v>
      </c>
      <c r="C25" s="538">
        <v>3.0449198475183858</v>
      </c>
      <c r="D25" s="538">
        <v>0.3776042842716732</v>
      </c>
      <c r="E25" s="538">
        <v>7.5520856854334642E-2</v>
      </c>
      <c r="F25" s="538">
        <v>0.45312514112600782</v>
      </c>
      <c r="G25" s="538">
        <v>0.57739439019193894</v>
      </c>
      <c r="H25" s="538">
        <v>1.9915303963366913</v>
      </c>
      <c r="I25" s="538">
        <v>1303.6061489430915</v>
      </c>
      <c r="J25" s="538">
        <v>-2.1522528767372697</v>
      </c>
      <c r="K25" s="538">
        <v>3.9511787212703759</v>
      </c>
      <c r="L25" s="599">
        <v>3.4491682464643647</v>
      </c>
      <c r="M25" s="538">
        <v>2.8927027493569818E-2</v>
      </c>
      <c r="N25" s="538">
        <v>5.3639795134547634E-4</v>
      </c>
      <c r="O25" s="538">
        <v>0.18333752840942297</v>
      </c>
      <c r="P25" s="538">
        <v>0.16592347912039981</v>
      </c>
      <c r="Q25" s="538">
        <v>0.19318449776440541</v>
      </c>
      <c r="R25" s="538">
        <v>0.17964715016625954</v>
      </c>
      <c r="S25" s="538">
        <v>0.18375050207065927</v>
      </c>
      <c r="T25" s="538">
        <v>0.17941070895254463</v>
      </c>
      <c r="U25" s="538">
        <v>0.17064381902397849</v>
      </c>
      <c r="V25" s="538">
        <v>0.18319961533139134</v>
      </c>
      <c r="W25" s="538">
        <v>0.16864684499917862</v>
      </c>
      <c r="X25" s="538">
        <v>0.19135806705873457</v>
      </c>
      <c r="Y25" s="538">
        <v>0.17084650189576633</v>
      </c>
      <c r="Z25" s="538">
        <v>0.18096578199425445</v>
      </c>
      <c r="AA25" s="538"/>
      <c r="AB25" s="538">
        <v>8.242895176955245E-2</v>
      </c>
      <c r="AC25" s="538">
        <v>7.1539897335657465E-2</v>
      </c>
      <c r="AD25" s="538">
        <v>7.0164469329157875E-2</v>
      </c>
      <c r="AE25" s="538">
        <v>7.2869417745288489E-2</v>
      </c>
      <c r="AF25" s="538">
        <v>7.3539717357862924E-2</v>
      </c>
      <c r="AG25" s="538">
        <v>6.7101501624347415E-2</v>
      </c>
      <c r="AH25" s="538">
        <v>7.8776395419651382E-2</v>
      </c>
      <c r="AI25" s="538">
        <v>6.7750749859474282E-2</v>
      </c>
      <c r="AJ25" s="538">
        <v>7.8993309965400327E-2</v>
      </c>
      <c r="AK25" s="538">
        <v>6.856373206961057E-2</v>
      </c>
      <c r="AL25" s="538">
        <v>8.0102996826257503E-2</v>
      </c>
      <c r="AM25" s="18">
        <v>8.2174211429129451E-2</v>
      </c>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row>
    <row r="26" spans="1:101">
      <c r="A26" t="s">
        <v>569</v>
      </c>
      <c r="C26" s="538">
        <v>3.0449198475183858</v>
      </c>
      <c r="D26" s="538">
        <v>0.3776042842716732</v>
      </c>
      <c r="E26" s="538">
        <v>7.5520856854334642E-2</v>
      </c>
      <c r="F26" s="538">
        <v>0.45312514112600782</v>
      </c>
      <c r="G26" s="538">
        <v>0.57739439019193894</v>
      </c>
      <c r="H26" s="538">
        <v>1.9915303963366913</v>
      </c>
      <c r="I26" s="538">
        <v>1303.6061489430915</v>
      </c>
      <c r="J26" s="538">
        <v>-2.1522528767372697</v>
      </c>
      <c r="K26" s="538">
        <v>3.9511787212703759</v>
      </c>
      <c r="L26" s="599">
        <v>3.4491682464643647</v>
      </c>
      <c r="M26" s="538">
        <v>2.8927027493569818E-2</v>
      </c>
      <c r="N26" s="538">
        <v>5.3639795134547634E-4</v>
      </c>
      <c r="O26" s="538">
        <v>0.18333752840942297</v>
      </c>
      <c r="P26" s="538">
        <v>0.16592347912039981</v>
      </c>
      <c r="Q26" s="538">
        <v>0.19318449776440541</v>
      </c>
      <c r="R26" s="538">
        <v>0.17964715016625954</v>
      </c>
      <c r="S26" s="538">
        <v>0.18375050207065927</v>
      </c>
      <c r="T26" s="538">
        <v>0.17941070895254463</v>
      </c>
      <c r="U26" s="538">
        <v>0.17064381902397849</v>
      </c>
      <c r="V26" s="538">
        <v>0.18319961533139134</v>
      </c>
      <c r="W26" s="538">
        <v>0.16864684499917862</v>
      </c>
      <c r="X26" s="538">
        <v>0.19135806705873457</v>
      </c>
      <c r="Y26" s="538">
        <v>0.17084650189576633</v>
      </c>
      <c r="Z26" s="538">
        <v>0.18096578199425445</v>
      </c>
      <c r="AA26" s="538"/>
      <c r="AB26" s="538">
        <v>8.242895176955245E-2</v>
      </c>
      <c r="AC26" s="538">
        <v>7.1539897335657465E-2</v>
      </c>
      <c r="AD26" s="538">
        <v>7.0164469329157875E-2</v>
      </c>
      <c r="AE26" s="538">
        <v>7.2869417745288489E-2</v>
      </c>
      <c r="AF26" s="538">
        <v>7.3539717357862924E-2</v>
      </c>
      <c r="AG26" s="538">
        <v>6.7101501624347415E-2</v>
      </c>
      <c r="AH26" s="538">
        <v>7.8776395419651382E-2</v>
      </c>
      <c r="AI26" s="538">
        <v>6.7750749859474282E-2</v>
      </c>
      <c r="AJ26" s="538">
        <v>7.8993309965400327E-2</v>
      </c>
      <c r="AK26" s="538">
        <v>6.856373206961057E-2</v>
      </c>
      <c r="AL26" s="538">
        <v>8.0102996826257503E-2</v>
      </c>
      <c r="AM26" s="18">
        <v>8.2174211429129451E-2</v>
      </c>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row>
    <row r="27" spans="1:101">
      <c r="A27" t="s">
        <v>576</v>
      </c>
      <c r="C27" s="538">
        <v>3.0449198475183858</v>
      </c>
      <c r="D27" s="538">
        <v>0.3776042842716732</v>
      </c>
      <c r="E27" s="538">
        <v>7.5520856854334642E-2</v>
      </c>
      <c r="F27" s="538">
        <v>0.45312514112600782</v>
      </c>
      <c r="G27" s="538">
        <v>0.57739439019193894</v>
      </c>
      <c r="H27" s="538">
        <v>1.9915303963366913</v>
      </c>
      <c r="I27" s="538">
        <v>1303.6061489430915</v>
      </c>
      <c r="J27" s="538">
        <v>-2.1522528767372697</v>
      </c>
      <c r="K27" s="538">
        <v>3.9511787212703759</v>
      </c>
      <c r="L27" s="599">
        <v>3.4491682464643647</v>
      </c>
      <c r="M27" s="538">
        <v>2.8927027493569818E-2</v>
      </c>
      <c r="N27" s="538">
        <v>5.3639795134547634E-4</v>
      </c>
      <c r="O27" s="538">
        <v>0.18333752840942297</v>
      </c>
      <c r="P27" s="538">
        <v>0.16592347912039981</v>
      </c>
      <c r="Q27" s="538">
        <v>0.19318449776440541</v>
      </c>
      <c r="R27" s="538">
        <v>0.17964715016625954</v>
      </c>
      <c r="S27" s="538">
        <v>0.18375050207065927</v>
      </c>
      <c r="T27" s="538">
        <v>0.17941070895254463</v>
      </c>
      <c r="U27" s="538">
        <v>0.17064381902397849</v>
      </c>
      <c r="V27" s="538">
        <v>0.18319961533139134</v>
      </c>
      <c r="W27" s="538">
        <v>0.16864684499917862</v>
      </c>
      <c r="X27" s="538">
        <v>0.19135806705873457</v>
      </c>
      <c r="Y27" s="538">
        <v>0.17084650189576633</v>
      </c>
      <c r="Z27" s="538">
        <v>0.18096578199425445</v>
      </c>
      <c r="AA27" s="538"/>
      <c r="AB27" s="538">
        <v>8.242895176955245E-2</v>
      </c>
      <c r="AC27" s="538">
        <v>7.1539897335657465E-2</v>
      </c>
      <c r="AD27" s="538">
        <v>7.0164469329157875E-2</v>
      </c>
      <c r="AE27" s="538">
        <v>7.2869417745288489E-2</v>
      </c>
      <c r="AF27" s="538">
        <v>7.3539717357862924E-2</v>
      </c>
      <c r="AG27" s="538">
        <v>6.7101501624347415E-2</v>
      </c>
      <c r="AH27" s="538">
        <v>7.8776395419651382E-2</v>
      </c>
      <c r="AI27" s="538">
        <v>6.7750749859474282E-2</v>
      </c>
      <c r="AJ27" s="538">
        <v>7.8993309965400327E-2</v>
      </c>
      <c r="AK27" s="538">
        <v>6.856373206961057E-2</v>
      </c>
      <c r="AL27" s="538">
        <v>8.0102996826257503E-2</v>
      </c>
      <c r="AM27" s="18">
        <v>8.2174211429129451E-2</v>
      </c>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row>
    <row r="28" spans="1:101">
      <c r="A28" t="s">
        <v>551</v>
      </c>
      <c r="C28" s="538">
        <v>0.56446323784331998</v>
      </c>
      <c r="D28" s="538">
        <v>7.3963740963958288E-2</v>
      </c>
      <c r="E28" s="538">
        <v>1.4792748192791659E-2</v>
      </c>
      <c r="F28" s="538">
        <v>8.875648915674994E-2</v>
      </c>
      <c r="G28" s="538">
        <v>0.11309789345364937</v>
      </c>
      <c r="H28" s="538">
        <v>0.36918728638974868</v>
      </c>
      <c r="I28" s="538">
        <v>1377.4268949450077</v>
      </c>
      <c r="J28" s="538">
        <v>-1.7077481201121316</v>
      </c>
      <c r="K28" s="538">
        <v>4.7413092438539524</v>
      </c>
      <c r="L28" s="599">
        <v>3.2643162053327881</v>
      </c>
      <c r="M28" s="538">
        <v>5.3624543232264994E-3</v>
      </c>
      <c r="N28" s="538">
        <v>9.9436746959285252E-5</v>
      </c>
      <c r="O28" s="538">
        <v>3.3986869962608982E-2</v>
      </c>
      <c r="P28" s="538">
        <v>3.0758676401567858E-2</v>
      </c>
      <c r="Q28" s="538">
        <v>3.581228819474646E-2</v>
      </c>
      <c r="R28" s="538">
        <v>3.3302752496035835E-2</v>
      </c>
      <c r="S28" s="538">
        <v>3.406342647694726E-2</v>
      </c>
      <c r="T28" s="538">
        <v>3.3258921334712525E-2</v>
      </c>
      <c r="U28" s="538">
        <v>3.1633726806545373E-2</v>
      </c>
      <c r="V28" s="538">
        <v>3.3961303817532908E-2</v>
      </c>
      <c r="W28" s="538">
        <v>3.1263530387468458E-2</v>
      </c>
      <c r="X28" s="538">
        <v>3.5473706871937703E-2</v>
      </c>
      <c r="Y28" s="538">
        <v>3.1671299890828036E-2</v>
      </c>
      <c r="Z28" s="538">
        <v>3.3547198730559835E-2</v>
      </c>
      <c r="AA28" s="538"/>
      <c r="AB28" s="538">
        <v>1.5280570700668168E-2</v>
      </c>
      <c r="AC28" s="538">
        <v>1.3261972106745276E-2</v>
      </c>
      <c r="AD28" s="538">
        <v>1.3006997071326236E-2</v>
      </c>
      <c r="AE28" s="538">
        <v>1.3508436852216569E-2</v>
      </c>
      <c r="AF28" s="538">
        <v>1.3632696113079297E-2</v>
      </c>
      <c r="AG28" s="538">
        <v>1.2439188145427604E-2</v>
      </c>
      <c r="AH28" s="538">
        <v>1.4603464606939412E-2</v>
      </c>
      <c r="AI28" s="538">
        <v>1.2559544929617654E-2</v>
      </c>
      <c r="AJ28" s="538">
        <v>1.4643675940229039E-2</v>
      </c>
      <c r="AK28" s="538">
        <v>1.2710254502815961E-2</v>
      </c>
      <c r="AL28" s="538">
        <v>1.4849388231467881E-2</v>
      </c>
      <c r="AM28" s="18">
        <v>1.5233347271295581E-2</v>
      </c>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row>
    <row r="29" spans="1:101">
      <c r="A29" t="s">
        <v>558</v>
      </c>
      <c r="C29" s="538">
        <v>0.56446323784331998</v>
      </c>
      <c r="D29" s="538">
        <v>7.3963740963958288E-2</v>
      </c>
      <c r="E29" s="538">
        <v>1.4792748192791659E-2</v>
      </c>
      <c r="F29" s="538">
        <v>8.875648915674994E-2</v>
      </c>
      <c r="G29" s="538">
        <v>0.11309789345364937</v>
      </c>
      <c r="H29" s="538">
        <v>0.36918728638974868</v>
      </c>
      <c r="I29" s="538">
        <v>1377.4268949450077</v>
      </c>
      <c r="J29" s="538">
        <v>-1.7077481201121316</v>
      </c>
      <c r="K29" s="538">
        <v>4.7413092438539524</v>
      </c>
      <c r="L29" s="599">
        <v>3.2643162053327881</v>
      </c>
      <c r="M29" s="538">
        <v>5.3624543232264994E-3</v>
      </c>
      <c r="N29" s="538">
        <v>9.9436746959285252E-5</v>
      </c>
      <c r="O29" s="538">
        <v>3.3986869962608982E-2</v>
      </c>
      <c r="P29" s="538">
        <v>3.0758676401567858E-2</v>
      </c>
      <c r="Q29" s="538">
        <v>3.581228819474646E-2</v>
      </c>
      <c r="R29" s="538">
        <v>3.3302752496035835E-2</v>
      </c>
      <c r="S29" s="538">
        <v>3.406342647694726E-2</v>
      </c>
      <c r="T29" s="538">
        <v>3.3258921334712525E-2</v>
      </c>
      <c r="U29" s="538">
        <v>3.1633726806545373E-2</v>
      </c>
      <c r="V29" s="538">
        <v>3.3961303817532908E-2</v>
      </c>
      <c r="W29" s="538">
        <v>3.1263530387468458E-2</v>
      </c>
      <c r="X29" s="538">
        <v>3.5473706871937703E-2</v>
      </c>
      <c r="Y29" s="538">
        <v>3.1671299890828036E-2</v>
      </c>
      <c r="Z29" s="538">
        <v>3.3547198730559835E-2</v>
      </c>
      <c r="AA29" s="538"/>
      <c r="AB29" s="538">
        <v>1.5280570700668168E-2</v>
      </c>
      <c r="AC29" s="538">
        <v>1.3261972106745276E-2</v>
      </c>
      <c r="AD29" s="538">
        <v>1.3006997071326236E-2</v>
      </c>
      <c r="AE29" s="538">
        <v>1.3508436852216569E-2</v>
      </c>
      <c r="AF29" s="538">
        <v>1.3632696113079297E-2</v>
      </c>
      <c r="AG29" s="538">
        <v>1.2439188145427604E-2</v>
      </c>
      <c r="AH29" s="538">
        <v>1.4603464606939412E-2</v>
      </c>
      <c r="AI29" s="538">
        <v>1.2559544929617654E-2</v>
      </c>
      <c r="AJ29" s="538">
        <v>1.4643675940229039E-2</v>
      </c>
      <c r="AK29" s="538">
        <v>1.2710254502815961E-2</v>
      </c>
      <c r="AL29" s="538">
        <v>1.4849388231467881E-2</v>
      </c>
      <c r="AM29" s="18">
        <v>1.5233347271295581E-2</v>
      </c>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row>
    <row r="30" spans="1:101">
      <c r="A30" t="s">
        <v>565</v>
      </c>
      <c r="C30" s="538">
        <v>0.56446323784331998</v>
      </c>
      <c r="D30" s="538">
        <v>7.3963740963958288E-2</v>
      </c>
      <c r="E30" s="538">
        <v>1.4792748192791659E-2</v>
      </c>
      <c r="F30" s="538">
        <v>8.875648915674994E-2</v>
      </c>
      <c r="G30" s="538">
        <v>0.11309789345364937</v>
      </c>
      <c r="H30" s="538">
        <v>0.36918728638974868</v>
      </c>
      <c r="I30" s="538">
        <v>1377.4268949450077</v>
      </c>
      <c r="J30" s="538">
        <v>-1.7077481201121316</v>
      </c>
      <c r="K30" s="538">
        <v>4.7413092438539524</v>
      </c>
      <c r="L30" s="599">
        <v>3.2643162053327881</v>
      </c>
      <c r="M30" s="538">
        <v>5.3624543232264994E-3</v>
      </c>
      <c r="N30" s="538">
        <v>9.9436746959285252E-5</v>
      </c>
      <c r="O30" s="538">
        <v>3.3986869962608982E-2</v>
      </c>
      <c r="P30" s="538">
        <v>3.0758676401567858E-2</v>
      </c>
      <c r="Q30" s="538">
        <v>3.581228819474646E-2</v>
      </c>
      <c r="R30" s="538">
        <v>3.3302752496035835E-2</v>
      </c>
      <c r="S30" s="538">
        <v>3.406342647694726E-2</v>
      </c>
      <c r="T30" s="538">
        <v>3.3258921334712525E-2</v>
      </c>
      <c r="U30" s="538">
        <v>3.1633726806545373E-2</v>
      </c>
      <c r="V30" s="538">
        <v>3.3961303817532908E-2</v>
      </c>
      <c r="W30" s="538">
        <v>3.1263530387468458E-2</v>
      </c>
      <c r="X30" s="538">
        <v>3.5473706871937703E-2</v>
      </c>
      <c r="Y30" s="538">
        <v>3.1671299890828036E-2</v>
      </c>
      <c r="Z30" s="538">
        <v>3.3547198730559835E-2</v>
      </c>
      <c r="AA30" s="538"/>
      <c r="AB30" s="538">
        <v>1.5280570700668168E-2</v>
      </c>
      <c r="AC30" s="538">
        <v>1.3261972106745276E-2</v>
      </c>
      <c r="AD30" s="538">
        <v>1.3006997071326236E-2</v>
      </c>
      <c r="AE30" s="538">
        <v>1.3508436852216569E-2</v>
      </c>
      <c r="AF30" s="538">
        <v>1.3632696113079297E-2</v>
      </c>
      <c r="AG30" s="538">
        <v>1.2439188145427604E-2</v>
      </c>
      <c r="AH30" s="538">
        <v>1.4603464606939412E-2</v>
      </c>
      <c r="AI30" s="538">
        <v>1.2559544929617654E-2</v>
      </c>
      <c r="AJ30" s="538">
        <v>1.4643675940229039E-2</v>
      </c>
      <c r="AK30" s="538">
        <v>1.2710254502815961E-2</v>
      </c>
      <c r="AL30" s="538">
        <v>1.4849388231467881E-2</v>
      </c>
      <c r="AM30" s="18">
        <v>1.5233347271295581E-2</v>
      </c>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row>
    <row r="31" spans="1:101">
      <c r="A31" t="s">
        <v>572</v>
      </c>
      <c r="C31" s="538">
        <v>0.56446323784331998</v>
      </c>
      <c r="D31" s="538">
        <v>7.3963740963958288E-2</v>
      </c>
      <c r="E31" s="538">
        <v>1.4792748192791659E-2</v>
      </c>
      <c r="F31" s="538">
        <v>8.875648915674994E-2</v>
      </c>
      <c r="G31" s="538">
        <v>0.11309789345364937</v>
      </c>
      <c r="H31" s="538">
        <v>0.36918728638974868</v>
      </c>
      <c r="I31" s="538">
        <v>1377.4268949450077</v>
      </c>
      <c r="J31" s="538">
        <v>-1.7077481201121316</v>
      </c>
      <c r="K31" s="538">
        <v>4.7413092438539524</v>
      </c>
      <c r="L31" s="599">
        <v>3.2643162053327881</v>
      </c>
      <c r="M31" s="538">
        <v>5.3624543232264994E-3</v>
      </c>
      <c r="N31" s="538">
        <v>9.9436746959285252E-5</v>
      </c>
      <c r="O31" s="538">
        <v>3.3986869962608982E-2</v>
      </c>
      <c r="P31" s="538">
        <v>3.0758676401567858E-2</v>
      </c>
      <c r="Q31" s="538">
        <v>3.581228819474646E-2</v>
      </c>
      <c r="R31" s="538">
        <v>3.3302752496035835E-2</v>
      </c>
      <c r="S31" s="538">
        <v>3.406342647694726E-2</v>
      </c>
      <c r="T31" s="538">
        <v>3.3258921334712525E-2</v>
      </c>
      <c r="U31" s="538">
        <v>3.1633726806545373E-2</v>
      </c>
      <c r="V31" s="538">
        <v>3.3961303817532908E-2</v>
      </c>
      <c r="W31" s="538">
        <v>3.1263530387468458E-2</v>
      </c>
      <c r="X31" s="538">
        <v>3.5473706871937703E-2</v>
      </c>
      <c r="Y31" s="538">
        <v>3.1671299890828036E-2</v>
      </c>
      <c r="Z31" s="538">
        <v>3.3547198730559835E-2</v>
      </c>
      <c r="AA31" s="538"/>
      <c r="AB31" s="538">
        <v>1.5280570700668168E-2</v>
      </c>
      <c r="AC31" s="538">
        <v>1.3261972106745276E-2</v>
      </c>
      <c r="AD31" s="538">
        <v>1.3006997071326236E-2</v>
      </c>
      <c r="AE31" s="538">
        <v>1.3508436852216569E-2</v>
      </c>
      <c r="AF31" s="538">
        <v>1.3632696113079297E-2</v>
      </c>
      <c r="AG31" s="538">
        <v>1.2439188145427604E-2</v>
      </c>
      <c r="AH31" s="538">
        <v>1.4603464606939412E-2</v>
      </c>
      <c r="AI31" s="538">
        <v>1.2559544929617654E-2</v>
      </c>
      <c r="AJ31" s="538">
        <v>1.4643675940229039E-2</v>
      </c>
      <c r="AK31" s="538">
        <v>1.2710254502815961E-2</v>
      </c>
      <c r="AL31" s="538">
        <v>1.4849388231467881E-2</v>
      </c>
      <c r="AM31" s="18">
        <v>1.5233347271295581E-2</v>
      </c>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row>
    <row r="32" spans="1:101">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A188"/>
  <sheetViews>
    <sheetView topLeftCell="A15" workbookViewId="0">
      <selection activeCell="H36" sqref="H36"/>
    </sheetView>
  </sheetViews>
  <sheetFormatPr defaultRowHeight="12.75"/>
  <cols>
    <col min="1" max="1" width="46.140625" customWidth="1"/>
  </cols>
  <sheetData>
    <row r="1" spans="1:105" s="23" customFormat="1">
      <c r="A1" s="6" t="s">
        <v>254</v>
      </c>
      <c r="B1" s="7"/>
      <c r="C1" s="7"/>
      <c r="D1" s="7"/>
      <c r="E1" s="7"/>
      <c r="F1" s="7"/>
      <c r="G1" s="7"/>
      <c r="H1" s="7"/>
      <c r="I1" s="8"/>
      <c r="J1" s="8"/>
      <c r="K1" s="8"/>
      <c r="L1" s="8"/>
      <c r="M1" s="8"/>
      <c r="N1" s="9"/>
      <c r="O1" s="9"/>
      <c r="P1" s="9"/>
      <c r="Q1" s="9"/>
      <c r="R1" s="9"/>
      <c r="S1" s="7"/>
      <c r="T1" s="7"/>
      <c r="U1" s="7"/>
      <c r="V1" s="9"/>
      <c r="W1" s="7"/>
      <c r="X1" s="7"/>
      <c r="Y1" s="7"/>
      <c r="Z1" s="7"/>
      <c r="AA1" s="7"/>
      <c r="AB1" s="7"/>
      <c r="AC1" s="7"/>
      <c r="AD1" s="7"/>
      <c r="AE1" s="7"/>
      <c r="AF1" s="7"/>
      <c r="AG1" s="7"/>
      <c r="AH1" s="7"/>
      <c r="AI1" s="7"/>
      <c r="AJ1" s="7"/>
      <c r="AK1" s="7"/>
      <c r="AL1" s="7"/>
      <c r="AM1" s="7"/>
      <c r="AN1" s="7"/>
      <c r="AO1" s="7"/>
      <c r="AP1" s="20"/>
      <c r="AQ1" s="7"/>
      <c r="AR1" s="7"/>
      <c r="AS1" s="7"/>
      <c r="AT1" s="7"/>
      <c r="AU1" s="7"/>
      <c r="AV1" s="20"/>
      <c r="AW1" s="7"/>
      <c r="AX1" s="7"/>
      <c r="AY1" s="7"/>
      <c r="AZ1" s="7"/>
      <c r="BA1" s="7"/>
      <c r="BB1" s="7"/>
      <c r="BC1" s="7"/>
      <c r="BD1" s="7"/>
      <c r="BE1" s="7"/>
      <c r="BF1" s="7"/>
      <c r="BG1" s="7"/>
      <c r="BH1" s="7"/>
      <c r="BI1" s="7"/>
      <c r="BJ1" s="7"/>
      <c r="BK1" s="7"/>
      <c r="BL1" s="7"/>
      <c r="BM1" s="19"/>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20"/>
      <c r="CQ1" s="7"/>
      <c r="CR1" s="7"/>
      <c r="CS1" s="7"/>
      <c r="CT1" s="7"/>
      <c r="CU1" s="7"/>
      <c r="CV1" s="7"/>
      <c r="CW1" s="7"/>
      <c r="CX1" s="7"/>
      <c r="CY1" s="7"/>
      <c r="CZ1" s="7"/>
      <c r="DA1" s="7"/>
    </row>
    <row r="2" spans="1:105" s="23" customFormat="1">
      <c r="A2" s="17" t="s">
        <v>165</v>
      </c>
      <c r="B2" s="7"/>
      <c r="C2" s="7"/>
      <c r="D2" s="7"/>
      <c r="E2" s="7"/>
      <c r="F2" s="7"/>
      <c r="G2" s="7"/>
      <c r="H2" s="7"/>
      <c r="I2" s="8"/>
      <c r="J2" s="8"/>
      <c r="K2" s="8"/>
      <c r="L2" s="8"/>
      <c r="M2" s="8"/>
      <c r="N2" s="9"/>
      <c r="O2" s="9"/>
      <c r="P2" s="9"/>
      <c r="Q2" s="9"/>
      <c r="R2" s="9"/>
      <c r="S2" s="7"/>
      <c r="T2" s="7"/>
      <c r="U2" s="7"/>
      <c r="V2" s="9"/>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20"/>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row>
    <row r="3" spans="1:105" s="23" customFormat="1">
      <c r="A3" s="17" t="s">
        <v>241</v>
      </c>
      <c r="C3" s="17">
        <v>2012</v>
      </c>
      <c r="J3" s="24"/>
      <c r="K3" s="25"/>
      <c r="CO3" s="25"/>
      <c r="CP3" s="25"/>
    </row>
    <row r="4" spans="1:105" s="23" customFormat="1"/>
    <row r="5" spans="1:105" s="23" customFormat="1">
      <c r="A5" s="10">
        <v>1</v>
      </c>
      <c r="B5" s="10">
        <v>2</v>
      </c>
      <c r="C5" s="10">
        <v>3</v>
      </c>
      <c r="D5" s="10">
        <v>4</v>
      </c>
      <c r="E5" s="10">
        <v>5</v>
      </c>
      <c r="F5" s="10">
        <v>6</v>
      </c>
      <c r="G5" s="10">
        <v>7</v>
      </c>
      <c r="H5" s="10">
        <v>8</v>
      </c>
      <c r="I5" s="10">
        <v>9</v>
      </c>
      <c r="J5" s="10">
        <v>10</v>
      </c>
      <c r="K5" s="10">
        <v>11</v>
      </c>
      <c r="L5" s="10">
        <v>12</v>
      </c>
      <c r="M5" s="10">
        <v>13</v>
      </c>
      <c r="N5" s="10">
        <v>14</v>
      </c>
      <c r="O5" s="10">
        <v>15</v>
      </c>
      <c r="P5" s="10">
        <v>16</v>
      </c>
      <c r="Q5" s="10">
        <v>17</v>
      </c>
      <c r="R5" s="10">
        <v>18</v>
      </c>
      <c r="S5" s="10">
        <v>19</v>
      </c>
      <c r="T5" s="10">
        <v>20</v>
      </c>
      <c r="U5" s="10">
        <v>21</v>
      </c>
      <c r="V5" s="10">
        <v>22</v>
      </c>
      <c r="W5" s="10">
        <v>23</v>
      </c>
      <c r="X5" s="10">
        <v>24</v>
      </c>
      <c r="Y5" s="10">
        <v>25</v>
      </c>
      <c r="Z5" s="10">
        <v>26</v>
      </c>
      <c r="AA5" s="10">
        <v>27</v>
      </c>
      <c r="AB5" s="10">
        <v>28</v>
      </c>
      <c r="AC5" s="10">
        <v>29</v>
      </c>
      <c r="AD5" s="10">
        <v>30</v>
      </c>
      <c r="AE5" s="10">
        <v>31</v>
      </c>
      <c r="AF5" s="10">
        <v>32</v>
      </c>
      <c r="AG5" s="10">
        <v>33</v>
      </c>
      <c r="AH5" s="10">
        <v>34</v>
      </c>
      <c r="AI5" s="10">
        <v>35</v>
      </c>
      <c r="AJ5" s="10">
        <v>36</v>
      </c>
      <c r="AK5" s="10">
        <v>37</v>
      </c>
      <c r="AL5" s="10">
        <v>38</v>
      </c>
      <c r="AM5" s="10">
        <v>39</v>
      </c>
      <c r="AN5" s="10">
        <v>40</v>
      </c>
      <c r="AO5" s="10">
        <v>41</v>
      </c>
      <c r="AP5" s="10">
        <v>42</v>
      </c>
      <c r="AQ5" s="10">
        <v>43</v>
      </c>
      <c r="AR5" s="10">
        <v>44</v>
      </c>
      <c r="AS5" s="10">
        <v>45</v>
      </c>
      <c r="AT5" s="10">
        <v>46</v>
      </c>
      <c r="AU5" s="10">
        <v>47</v>
      </c>
      <c r="AV5" s="10">
        <v>48</v>
      </c>
      <c r="AW5" s="10">
        <v>49</v>
      </c>
      <c r="AX5" s="10">
        <v>50</v>
      </c>
      <c r="AY5" s="10">
        <v>51</v>
      </c>
      <c r="AZ5" s="10">
        <v>52</v>
      </c>
      <c r="BA5" s="10">
        <v>53</v>
      </c>
      <c r="BB5" s="10">
        <v>54</v>
      </c>
      <c r="BC5" s="10">
        <v>55</v>
      </c>
      <c r="BD5" s="10">
        <v>56</v>
      </c>
      <c r="BE5" s="10">
        <v>57</v>
      </c>
      <c r="BF5" s="10">
        <v>58</v>
      </c>
      <c r="BG5" s="10">
        <v>59</v>
      </c>
      <c r="BH5" s="10">
        <v>60</v>
      </c>
      <c r="BI5" s="10">
        <v>61</v>
      </c>
      <c r="BJ5" s="10">
        <v>62</v>
      </c>
      <c r="BK5" s="10">
        <v>63</v>
      </c>
      <c r="BL5" s="10">
        <v>64</v>
      </c>
      <c r="BM5" s="10">
        <v>65</v>
      </c>
      <c r="BN5" s="10">
        <v>66</v>
      </c>
      <c r="BO5" s="10">
        <v>67</v>
      </c>
      <c r="BP5" s="10">
        <v>68</v>
      </c>
      <c r="BQ5" s="10">
        <v>69</v>
      </c>
      <c r="BR5" s="10">
        <v>70</v>
      </c>
      <c r="BS5" s="10">
        <v>71</v>
      </c>
      <c r="BT5" s="10">
        <v>72</v>
      </c>
      <c r="BU5" s="10">
        <v>73</v>
      </c>
      <c r="BV5" s="10">
        <v>74</v>
      </c>
      <c r="BW5" s="10">
        <v>75</v>
      </c>
      <c r="BX5" s="10">
        <v>76</v>
      </c>
      <c r="BY5" s="10">
        <v>77</v>
      </c>
      <c r="BZ5" s="10">
        <v>78</v>
      </c>
      <c r="CA5" s="10">
        <v>79</v>
      </c>
      <c r="CB5" s="10">
        <v>80</v>
      </c>
      <c r="CC5" s="10">
        <v>81</v>
      </c>
      <c r="CD5" s="10">
        <v>82</v>
      </c>
      <c r="CE5" s="10">
        <v>83</v>
      </c>
      <c r="CF5" s="10">
        <v>84</v>
      </c>
      <c r="CG5" s="10">
        <v>85</v>
      </c>
      <c r="CH5" s="10">
        <v>86</v>
      </c>
      <c r="CI5" s="10">
        <v>87</v>
      </c>
      <c r="CJ5" s="10">
        <v>88</v>
      </c>
      <c r="CK5" s="10">
        <v>89</v>
      </c>
      <c r="CL5" s="10">
        <v>90</v>
      </c>
      <c r="CM5" s="10">
        <v>91</v>
      </c>
      <c r="CN5" s="10">
        <v>92</v>
      </c>
      <c r="CO5" s="10">
        <v>93</v>
      </c>
      <c r="CP5" s="10">
        <v>94</v>
      </c>
      <c r="CQ5" s="10">
        <v>95</v>
      </c>
      <c r="CR5" s="10">
        <v>96</v>
      </c>
      <c r="CS5" s="10">
        <v>97</v>
      </c>
      <c r="CT5" s="10">
        <v>98</v>
      </c>
      <c r="CU5" s="10">
        <v>99</v>
      </c>
      <c r="CV5" s="10">
        <v>100</v>
      </c>
      <c r="CW5" s="10">
        <v>101</v>
      </c>
      <c r="CX5" s="10">
        <v>102</v>
      </c>
      <c r="CY5" s="10">
        <v>103</v>
      </c>
      <c r="CZ5" s="10">
        <v>104</v>
      </c>
      <c r="DA5" s="10">
        <v>105</v>
      </c>
    </row>
    <row r="6" spans="1:105" s="23" customFormat="1">
      <c r="A6" s="2" t="s">
        <v>244</v>
      </c>
      <c r="B6" s="3"/>
      <c r="C6" s="3"/>
      <c r="D6" s="3"/>
      <c r="E6" s="3"/>
      <c r="F6" s="3"/>
      <c r="G6" s="4"/>
      <c r="H6" s="5"/>
      <c r="I6" s="653" t="s">
        <v>242</v>
      </c>
      <c r="J6" s="654"/>
      <c r="K6" s="654"/>
      <c r="L6" s="654"/>
      <c r="M6" s="654"/>
      <c r="N6" s="655"/>
      <c r="O6" s="656" t="s">
        <v>259</v>
      </c>
      <c r="P6" s="657"/>
      <c r="Q6" s="12"/>
      <c r="R6" s="13"/>
      <c r="S6" s="13"/>
      <c r="T6" s="13"/>
      <c r="U6" s="13"/>
      <c r="V6" s="13"/>
      <c r="W6" s="13"/>
      <c r="X6" s="14"/>
      <c r="Y6" s="15"/>
      <c r="Z6" s="13"/>
      <c r="AA6" s="13"/>
      <c r="AB6" s="13"/>
      <c r="AC6" s="13"/>
      <c r="AD6" s="13"/>
      <c r="AE6" s="11"/>
      <c r="AF6" s="11"/>
      <c r="AG6" s="11"/>
      <c r="AH6" s="11"/>
      <c r="AI6" s="11"/>
      <c r="AJ6" s="11"/>
      <c r="AK6" s="11"/>
      <c r="AL6" s="11"/>
      <c r="AM6" s="11"/>
      <c r="AN6" s="11"/>
      <c r="AO6" s="11"/>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row>
    <row r="7" spans="1:105" s="23" customFormat="1" ht="38.25">
      <c r="A7" s="26" t="s">
        <v>245</v>
      </c>
      <c r="B7" s="26" t="s">
        <v>246</v>
      </c>
      <c r="C7" s="26" t="s">
        <v>57</v>
      </c>
      <c r="D7" s="26" t="s">
        <v>255</v>
      </c>
      <c r="E7" s="26" t="s">
        <v>256</v>
      </c>
      <c r="F7" s="26" t="s">
        <v>257</v>
      </c>
      <c r="G7" s="21" t="s">
        <v>247</v>
      </c>
      <c r="H7" s="21" t="s">
        <v>258</v>
      </c>
      <c r="I7" s="21" t="s">
        <v>248</v>
      </c>
      <c r="J7" s="21" t="s">
        <v>249</v>
      </c>
      <c r="K7" s="21" t="s">
        <v>250</v>
      </c>
      <c r="L7" s="21" t="s">
        <v>251</v>
      </c>
      <c r="M7" s="21" t="s">
        <v>252</v>
      </c>
      <c r="N7" s="21" t="s">
        <v>253</v>
      </c>
      <c r="O7" s="27" t="s">
        <v>243</v>
      </c>
      <c r="P7" s="21" t="s">
        <v>247</v>
      </c>
      <c r="Q7" s="16"/>
      <c r="R7" s="16"/>
      <c r="S7" s="16"/>
      <c r="T7" s="16"/>
      <c r="U7" s="16"/>
      <c r="V7" s="16"/>
      <c r="W7" s="16"/>
      <c r="X7" s="16"/>
      <c r="Y7" s="16"/>
      <c r="Z7" s="16"/>
      <c r="AA7" s="16"/>
      <c r="AB7" s="16"/>
      <c r="AC7" s="16"/>
      <c r="AD7" s="16"/>
      <c r="AE7" s="11"/>
      <c r="AF7" s="11"/>
      <c r="AG7" s="11"/>
      <c r="AH7" s="11"/>
      <c r="AI7" s="11"/>
      <c r="AJ7" s="11"/>
      <c r="AK7" s="11"/>
      <c r="AL7" s="11"/>
      <c r="AM7" s="11"/>
      <c r="AN7" s="11"/>
      <c r="AO7" s="11"/>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row>
    <row r="8" spans="1:105">
      <c r="A8" t="s">
        <v>549</v>
      </c>
      <c r="B8" t="str">
        <f>Raw!B8</f>
        <v>VSD - Vacuum Pump</v>
      </c>
      <c r="C8" s="587">
        <f>Raw!C8</f>
        <v>6.9735697018533438</v>
      </c>
      <c r="D8">
        <f>Raw!D8</f>
        <v>15</v>
      </c>
      <c r="E8">
        <f>Raw!E8</f>
        <v>0.92996697553610974</v>
      </c>
      <c r="F8">
        <f>Raw!F8</f>
        <v>0</v>
      </c>
      <c r="G8" s="528" t="s">
        <v>788</v>
      </c>
      <c r="H8">
        <f>Raw!H8</f>
        <v>0</v>
      </c>
      <c r="I8">
        <f>Raw!I8</f>
        <v>0</v>
      </c>
      <c r="J8">
        <f>Raw!J8</f>
        <v>0</v>
      </c>
      <c r="K8">
        <f>Raw!K8</f>
        <v>0</v>
      </c>
      <c r="L8">
        <f>Raw!L8</f>
        <v>0</v>
      </c>
      <c r="M8">
        <f>Raw!M8</f>
        <v>0</v>
      </c>
      <c r="N8">
        <f>Raw!N8</f>
        <v>0</v>
      </c>
      <c r="O8">
        <f>Raw!O8</f>
        <v>0</v>
      </c>
    </row>
    <row r="9" spans="1:105">
      <c r="A9" t="s">
        <v>550</v>
      </c>
      <c r="B9" t="str">
        <f>Raw!B9</f>
        <v>Plate Milk Pre-cooler</v>
      </c>
      <c r="C9" s="587">
        <f>Raw!C9</f>
        <v>3.8581788879935535</v>
      </c>
      <c r="D9">
        <f>Raw!D9</f>
        <v>15</v>
      </c>
      <c r="E9">
        <f>Raw!E9</f>
        <v>0.51447889576687988</v>
      </c>
      <c r="F9">
        <f>Raw!F9</f>
        <v>0</v>
      </c>
      <c r="G9" s="528" t="s">
        <v>788</v>
      </c>
      <c r="H9">
        <f>Raw!H9</f>
        <v>0</v>
      </c>
      <c r="I9">
        <f>Raw!I9</f>
        <v>0</v>
      </c>
      <c r="J9">
        <f>Raw!J9</f>
        <v>0</v>
      </c>
      <c r="K9">
        <f>Raw!K9</f>
        <v>0</v>
      </c>
      <c r="L9">
        <f>Raw!L9</f>
        <v>0</v>
      </c>
      <c r="M9">
        <f>Raw!M9</f>
        <v>0</v>
      </c>
      <c r="N9">
        <f>Raw!N9</f>
        <v>0</v>
      </c>
      <c r="O9">
        <f>Raw!O9</f>
        <v>0</v>
      </c>
    </row>
    <row r="10" spans="1:105">
      <c r="A10" t="s">
        <v>551</v>
      </c>
      <c r="B10" t="str">
        <f>Raw!B10</f>
        <v>Energy Efficient Lighting</v>
      </c>
      <c r="C10" s="587">
        <f>Raw!C10</f>
        <v>0.5253004611929295</v>
      </c>
      <c r="D10">
        <f>Raw!D10</f>
        <v>15</v>
      </c>
      <c r="E10">
        <f>Raw!E10</f>
        <v>7.3963740963958288E-2</v>
      </c>
      <c r="F10">
        <f>Raw!F10</f>
        <v>0</v>
      </c>
      <c r="G10" s="528" t="s">
        <v>577</v>
      </c>
      <c r="H10">
        <f>Raw!H10</f>
        <v>0</v>
      </c>
      <c r="I10">
        <f>Raw!I10</f>
        <v>0</v>
      </c>
      <c r="J10">
        <f>Raw!J10</f>
        <v>0</v>
      </c>
      <c r="K10">
        <f>Raw!K10</f>
        <v>0</v>
      </c>
      <c r="L10">
        <f>Raw!L10</f>
        <v>0</v>
      </c>
      <c r="M10">
        <f>Raw!M10</f>
        <v>0</v>
      </c>
      <c r="N10">
        <f>Raw!N10</f>
        <v>0</v>
      </c>
      <c r="O10">
        <f>Raw!O10</f>
        <v>0</v>
      </c>
    </row>
    <row r="11" spans="1:105">
      <c r="A11" t="s">
        <v>552</v>
      </c>
      <c r="B11" t="str">
        <f>Raw!B11</f>
        <v>VSD - Vacuum Pump</v>
      </c>
      <c r="C11" s="587">
        <f>Raw!C11</f>
        <v>4.8885865216023019</v>
      </c>
      <c r="D11">
        <f>Raw!D11</f>
        <v>15</v>
      </c>
      <c r="E11">
        <f>Raw!E11</f>
        <v>0.59537840461596525</v>
      </c>
      <c r="F11">
        <f>Raw!F11</f>
        <v>0</v>
      </c>
      <c r="G11" s="528" t="s">
        <v>788</v>
      </c>
      <c r="H11">
        <f>Raw!H11</f>
        <v>0</v>
      </c>
      <c r="I11">
        <f>Raw!I11</f>
        <v>0</v>
      </c>
      <c r="J11">
        <f>Raw!J11</f>
        <v>0</v>
      </c>
      <c r="K11">
        <f>Raw!K11</f>
        <v>0</v>
      </c>
      <c r="L11">
        <f>Raw!L11</f>
        <v>0</v>
      </c>
      <c r="M11">
        <f>Raw!M11</f>
        <v>0</v>
      </c>
      <c r="N11">
        <f>Raw!N11</f>
        <v>0</v>
      </c>
      <c r="O11">
        <f>Raw!O11</f>
        <v>0</v>
      </c>
    </row>
    <row r="12" spans="1:105">
      <c r="A12" t="s">
        <v>553</v>
      </c>
      <c r="B12" t="str">
        <f>Raw!B12</f>
        <v>Heat Recovery Refrigeration</v>
      </c>
      <c r="C12" s="587">
        <f>Raw!C12</f>
        <v>5.173293534972041</v>
      </c>
      <c r="D12">
        <f>Raw!D12</f>
        <v>15</v>
      </c>
      <c r="E12">
        <f>Raw!E12</f>
        <v>0.63250552514432767</v>
      </c>
      <c r="F12">
        <f>Raw!F12</f>
        <v>0</v>
      </c>
      <c r="G12" s="528" t="s">
        <v>788</v>
      </c>
      <c r="H12">
        <f>Raw!H12</f>
        <v>0</v>
      </c>
      <c r="I12">
        <f>Raw!I12</f>
        <v>0</v>
      </c>
      <c r="J12">
        <f>Raw!J12</f>
        <v>0</v>
      </c>
      <c r="K12">
        <f>Raw!K12</f>
        <v>0</v>
      </c>
      <c r="L12">
        <f>Raw!L12</f>
        <v>0</v>
      </c>
      <c r="M12">
        <f>Raw!M12</f>
        <v>0</v>
      </c>
      <c r="N12">
        <f>Raw!N12</f>
        <v>0</v>
      </c>
      <c r="O12">
        <f>Raw!O12</f>
        <v>0</v>
      </c>
    </row>
    <row r="13" spans="1:105">
      <c r="A13" t="s">
        <v>554</v>
      </c>
      <c r="B13" t="str">
        <f>Raw!B13</f>
        <v>Plate Milk Pre-Cooler</v>
      </c>
      <c r="C13" s="587">
        <f>Raw!C13</f>
        <v>4</v>
      </c>
      <c r="D13">
        <f>Raw!D13</f>
        <v>15</v>
      </c>
      <c r="E13">
        <f>Raw!E13</f>
        <v>0.45149651239206373</v>
      </c>
      <c r="F13">
        <f>Raw!F13</f>
        <v>0</v>
      </c>
      <c r="G13" s="528" t="s">
        <v>788</v>
      </c>
      <c r="H13">
        <f>Raw!H13</f>
        <v>0</v>
      </c>
      <c r="I13">
        <f>Raw!I13</f>
        <v>0</v>
      </c>
      <c r="J13">
        <f>Raw!J13</f>
        <v>0</v>
      </c>
      <c r="K13">
        <f>Raw!K13</f>
        <v>0</v>
      </c>
      <c r="L13">
        <f>Raw!L13</f>
        <v>0</v>
      </c>
      <c r="M13">
        <f>Raw!M13</f>
        <v>0</v>
      </c>
      <c r="N13">
        <f>Raw!N13</f>
        <v>0</v>
      </c>
      <c r="O13">
        <f>Raw!O13</f>
        <v>0</v>
      </c>
    </row>
    <row r="14" spans="1:105">
      <c r="A14" t="s">
        <v>555</v>
      </c>
      <c r="B14" t="str">
        <f>Raw!B14</f>
        <v>Energy Efficient Lighting</v>
      </c>
      <c r="C14" s="587">
        <f>Raw!C14</f>
        <v>2.8336615973578971</v>
      </c>
      <c r="D14">
        <f>Raw!D14</f>
        <v>15</v>
      </c>
      <c r="E14">
        <f>Raw!E14</f>
        <v>0.3776042842716732</v>
      </c>
      <c r="F14">
        <f>Raw!F14</f>
        <v>0</v>
      </c>
      <c r="G14" s="528" t="s">
        <v>577</v>
      </c>
      <c r="H14">
        <f>Raw!H14</f>
        <v>0</v>
      </c>
      <c r="I14">
        <f>Raw!I14</f>
        <v>0</v>
      </c>
      <c r="J14">
        <f>Raw!J14</f>
        <v>0</v>
      </c>
      <c r="K14">
        <f>Raw!K14</f>
        <v>0</v>
      </c>
      <c r="L14">
        <f>Raw!L14</f>
        <v>0</v>
      </c>
      <c r="M14">
        <f>Raw!M14</f>
        <v>0</v>
      </c>
      <c r="N14">
        <f>Raw!N14</f>
        <v>0</v>
      </c>
      <c r="O14">
        <f>Raw!O14</f>
        <v>0</v>
      </c>
    </row>
    <row r="15" spans="1:105">
      <c r="A15" t="s">
        <v>556</v>
      </c>
      <c r="B15" t="str">
        <f>Raw!B15</f>
        <v>VSD - Vacuum Pump</v>
      </c>
      <c r="C15" s="587">
        <f>Raw!C15</f>
        <v>6.9735697018533438</v>
      </c>
      <c r="D15">
        <f>Raw!D15</f>
        <v>15</v>
      </c>
      <c r="E15">
        <f>Raw!E15</f>
        <v>0.92996697553610974</v>
      </c>
      <c r="F15">
        <f>Raw!F15</f>
        <v>0</v>
      </c>
      <c r="G15" s="528" t="s">
        <v>788</v>
      </c>
      <c r="H15">
        <f>Raw!H15</f>
        <v>0</v>
      </c>
      <c r="I15">
        <f>Raw!I15</f>
        <v>0</v>
      </c>
      <c r="J15">
        <f>Raw!J15</f>
        <v>0</v>
      </c>
      <c r="K15">
        <f>Raw!K15</f>
        <v>0</v>
      </c>
      <c r="L15">
        <f>Raw!L15</f>
        <v>0</v>
      </c>
      <c r="M15">
        <f>Raw!M15</f>
        <v>0</v>
      </c>
      <c r="N15">
        <f>Raw!N15</f>
        <v>0</v>
      </c>
      <c r="O15">
        <f>Raw!O15</f>
        <v>0</v>
      </c>
    </row>
    <row r="16" spans="1:105">
      <c r="A16" t="s">
        <v>557</v>
      </c>
      <c r="B16" t="str">
        <f>Raw!B16</f>
        <v>Plate Milk Pre-cooler</v>
      </c>
      <c r="C16" s="587">
        <f>Raw!C16</f>
        <v>3.8581788879935535</v>
      </c>
      <c r="D16">
        <f>Raw!D16</f>
        <v>15</v>
      </c>
      <c r="E16">
        <f>Raw!E16</f>
        <v>0.51447889576687988</v>
      </c>
      <c r="F16">
        <f>Raw!F16</f>
        <v>0</v>
      </c>
      <c r="G16" s="528" t="s">
        <v>788</v>
      </c>
      <c r="H16">
        <f>Raw!H16</f>
        <v>0</v>
      </c>
      <c r="I16">
        <f>Raw!I16</f>
        <v>0</v>
      </c>
      <c r="J16">
        <f>Raw!J16</f>
        <v>0</v>
      </c>
      <c r="K16">
        <f>Raw!K16</f>
        <v>0</v>
      </c>
      <c r="L16">
        <f>Raw!L16</f>
        <v>0</v>
      </c>
      <c r="M16">
        <f>Raw!M16</f>
        <v>0</v>
      </c>
      <c r="N16">
        <f>Raw!N16</f>
        <v>0</v>
      </c>
      <c r="O16">
        <f>Raw!O16</f>
        <v>0</v>
      </c>
    </row>
    <row r="17" spans="1:15">
      <c r="A17" t="s">
        <v>558</v>
      </c>
      <c r="B17" t="str">
        <f>Raw!B17</f>
        <v>Energy Efficient Lighting</v>
      </c>
      <c r="C17" s="587">
        <f>Raw!C17</f>
        <v>0.5253004611929295</v>
      </c>
      <c r="D17">
        <f>Raw!D17</f>
        <v>15</v>
      </c>
      <c r="E17">
        <f>Raw!E17</f>
        <v>7.3963740963958288E-2</v>
      </c>
      <c r="F17">
        <f>Raw!F17</f>
        <v>0</v>
      </c>
      <c r="G17" s="528" t="s">
        <v>577</v>
      </c>
      <c r="H17">
        <f>Raw!H17</f>
        <v>0</v>
      </c>
      <c r="I17">
        <f>Raw!I17</f>
        <v>0</v>
      </c>
      <c r="J17">
        <f>Raw!J17</f>
        <v>0</v>
      </c>
      <c r="K17">
        <f>Raw!K17</f>
        <v>0</v>
      </c>
      <c r="L17">
        <f>Raw!L17</f>
        <v>0</v>
      </c>
      <c r="M17">
        <f>Raw!M17</f>
        <v>0</v>
      </c>
      <c r="N17">
        <f>Raw!N17</f>
        <v>0</v>
      </c>
      <c r="O17">
        <f>Raw!O17</f>
        <v>0</v>
      </c>
    </row>
    <row r="18" spans="1:15">
      <c r="A18" t="s">
        <v>559</v>
      </c>
      <c r="B18" t="str">
        <f>Raw!B18</f>
        <v>VSD - Vacuum Pump</v>
      </c>
      <c r="C18" s="587">
        <f>Raw!C18</f>
        <v>4.8885865216023019</v>
      </c>
      <c r="D18">
        <f>Raw!D18</f>
        <v>15</v>
      </c>
      <c r="E18">
        <f>Raw!E18</f>
        <v>0.59537840461596525</v>
      </c>
      <c r="F18">
        <f>Raw!F18</f>
        <v>0</v>
      </c>
      <c r="G18" s="528" t="s">
        <v>788</v>
      </c>
      <c r="H18">
        <f>Raw!H18</f>
        <v>0</v>
      </c>
      <c r="I18">
        <f>Raw!I18</f>
        <v>0</v>
      </c>
      <c r="J18">
        <f>Raw!J18</f>
        <v>0</v>
      </c>
      <c r="K18">
        <f>Raw!K18</f>
        <v>0</v>
      </c>
      <c r="L18">
        <f>Raw!L18</f>
        <v>0</v>
      </c>
      <c r="M18">
        <f>Raw!M18</f>
        <v>0</v>
      </c>
      <c r="N18">
        <f>Raw!N18</f>
        <v>0</v>
      </c>
      <c r="O18">
        <f>Raw!O18</f>
        <v>0</v>
      </c>
    </row>
    <row r="19" spans="1:15">
      <c r="A19" t="s">
        <v>560</v>
      </c>
      <c r="B19" t="str">
        <f>Raw!B19</f>
        <v>Heat Recovery Refrigeration</v>
      </c>
      <c r="C19" s="587">
        <f>Raw!C19</f>
        <v>5.173293534972041</v>
      </c>
      <c r="D19">
        <f>Raw!D19</f>
        <v>15</v>
      </c>
      <c r="E19">
        <f>Raw!E19</f>
        <v>0.63250552514432767</v>
      </c>
      <c r="F19">
        <f>Raw!F19</f>
        <v>0</v>
      </c>
      <c r="G19" s="528" t="s">
        <v>788</v>
      </c>
      <c r="H19">
        <f>Raw!H19</f>
        <v>0</v>
      </c>
      <c r="I19">
        <f>Raw!I19</f>
        <v>0</v>
      </c>
      <c r="J19">
        <f>Raw!J19</f>
        <v>0</v>
      </c>
      <c r="K19">
        <f>Raw!K19</f>
        <v>0</v>
      </c>
      <c r="L19">
        <f>Raw!L19</f>
        <v>0</v>
      </c>
      <c r="M19">
        <f>Raw!M19</f>
        <v>0</v>
      </c>
      <c r="N19">
        <f>Raw!N19</f>
        <v>0</v>
      </c>
      <c r="O19">
        <f>Raw!O19</f>
        <v>0</v>
      </c>
    </row>
    <row r="20" spans="1:15">
      <c r="A20" t="s">
        <v>561</v>
      </c>
      <c r="B20" t="str">
        <f>Raw!B20</f>
        <v>Plate Milk Pre-Cooler</v>
      </c>
      <c r="C20" s="587">
        <f>Raw!C20</f>
        <v>4</v>
      </c>
      <c r="D20">
        <f>Raw!D20</f>
        <v>15</v>
      </c>
      <c r="E20">
        <f>Raw!E20</f>
        <v>0.45149651239206373</v>
      </c>
      <c r="F20">
        <f>Raw!F20</f>
        <v>0</v>
      </c>
      <c r="G20" s="528" t="s">
        <v>788</v>
      </c>
      <c r="H20">
        <f>Raw!H20</f>
        <v>0</v>
      </c>
      <c r="I20">
        <f>Raw!I20</f>
        <v>0</v>
      </c>
      <c r="J20">
        <f>Raw!J20</f>
        <v>0</v>
      </c>
      <c r="K20">
        <f>Raw!K20</f>
        <v>0</v>
      </c>
      <c r="L20">
        <f>Raw!L20</f>
        <v>0</v>
      </c>
      <c r="M20">
        <f>Raw!M20</f>
        <v>0</v>
      </c>
      <c r="N20">
        <f>Raw!N20</f>
        <v>0</v>
      </c>
      <c r="O20">
        <f>Raw!O20</f>
        <v>0</v>
      </c>
    </row>
    <row r="21" spans="1:15">
      <c r="A21" t="s">
        <v>562</v>
      </c>
      <c r="B21" t="str">
        <f>Raw!B21</f>
        <v>Energy Efficient Lighting</v>
      </c>
      <c r="C21" s="587">
        <f>Raw!C21</f>
        <v>2.8336615973578971</v>
      </c>
      <c r="D21">
        <f>Raw!D21</f>
        <v>15</v>
      </c>
      <c r="E21">
        <f>Raw!E21</f>
        <v>0.3776042842716732</v>
      </c>
      <c r="F21">
        <f>Raw!F21</f>
        <v>0</v>
      </c>
      <c r="G21" s="528" t="s">
        <v>577</v>
      </c>
      <c r="H21">
        <f>Raw!H21</f>
        <v>0</v>
      </c>
      <c r="I21">
        <f>Raw!I21</f>
        <v>0</v>
      </c>
      <c r="J21">
        <f>Raw!J21</f>
        <v>0</v>
      </c>
      <c r="K21">
        <f>Raw!K21</f>
        <v>0</v>
      </c>
      <c r="L21">
        <f>Raw!L21</f>
        <v>0</v>
      </c>
      <c r="M21">
        <f>Raw!M21</f>
        <v>0</v>
      </c>
      <c r="N21">
        <f>Raw!N21</f>
        <v>0</v>
      </c>
      <c r="O21">
        <f>Raw!O21</f>
        <v>0</v>
      </c>
    </row>
    <row r="22" spans="1:15">
      <c r="A22" t="s">
        <v>563</v>
      </c>
      <c r="B22" t="str">
        <f>Raw!B22</f>
        <v>VSD - Vacuum Pump</v>
      </c>
      <c r="C22" s="587">
        <f>Raw!C22</f>
        <v>6.9735697018533438</v>
      </c>
      <c r="D22">
        <f>Raw!D22</f>
        <v>15</v>
      </c>
      <c r="E22">
        <f>Raw!E22</f>
        <v>0.92996697553610974</v>
      </c>
      <c r="F22">
        <f>Raw!F22</f>
        <v>0</v>
      </c>
      <c r="G22" s="528" t="s">
        <v>788</v>
      </c>
      <c r="H22">
        <f>Raw!H22</f>
        <v>0</v>
      </c>
      <c r="I22">
        <f>Raw!I22</f>
        <v>0</v>
      </c>
      <c r="J22">
        <f>Raw!J22</f>
        <v>0</v>
      </c>
      <c r="K22">
        <f>Raw!K22</f>
        <v>0</v>
      </c>
      <c r="L22">
        <f>Raw!L22</f>
        <v>0</v>
      </c>
      <c r="M22">
        <f>Raw!M22</f>
        <v>0</v>
      </c>
      <c r="N22">
        <f>Raw!N22</f>
        <v>0</v>
      </c>
      <c r="O22">
        <f>Raw!O22</f>
        <v>0</v>
      </c>
    </row>
    <row r="23" spans="1:15">
      <c r="A23" t="s">
        <v>564</v>
      </c>
      <c r="B23" t="str">
        <f>Raw!B23</f>
        <v>Plate Milk Pre-cooler</v>
      </c>
      <c r="C23" s="587">
        <f>Raw!C23</f>
        <v>3.8581788879935535</v>
      </c>
      <c r="D23">
        <f>Raw!D23</f>
        <v>15</v>
      </c>
      <c r="E23">
        <f>Raw!E23</f>
        <v>0.51447889576687988</v>
      </c>
      <c r="F23">
        <f>Raw!F23</f>
        <v>0</v>
      </c>
      <c r="G23" s="528" t="s">
        <v>788</v>
      </c>
      <c r="H23">
        <f>Raw!H23</f>
        <v>0</v>
      </c>
      <c r="I23">
        <f>Raw!I23</f>
        <v>0</v>
      </c>
      <c r="J23">
        <f>Raw!J23</f>
        <v>0</v>
      </c>
      <c r="K23">
        <f>Raw!K23</f>
        <v>0</v>
      </c>
      <c r="L23">
        <f>Raw!L23</f>
        <v>0</v>
      </c>
      <c r="M23">
        <f>Raw!M23</f>
        <v>0</v>
      </c>
      <c r="N23">
        <f>Raw!N23</f>
        <v>0</v>
      </c>
      <c r="O23">
        <f>Raw!O23</f>
        <v>0</v>
      </c>
    </row>
    <row r="24" spans="1:15">
      <c r="A24" t="s">
        <v>565</v>
      </c>
      <c r="B24" t="str">
        <f>Raw!B24</f>
        <v>Energy Efficient Lighting</v>
      </c>
      <c r="C24" s="587">
        <f>Raw!C24</f>
        <v>0.5253004611929295</v>
      </c>
      <c r="D24">
        <f>Raw!D24</f>
        <v>15</v>
      </c>
      <c r="E24">
        <f>Raw!E24</f>
        <v>7.3963740963958288E-2</v>
      </c>
      <c r="F24">
        <f>Raw!F24</f>
        <v>0</v>
      </c>
      <c r="G24" s="528" t="s">
        <v>577</v>
      </c>
      <c r="H24">
        <f>Raw!H24</f>
        <v>0</v>
      </c>
      <c r="I24">
        <f>Raw!I24</f>
        <v>0</v>
      </c>
      <c r="J24">
        <f>Raw!J24</f>
        <v>0</v>
      </c>
      <c r="K24">
        <f>Raw!K24</f>
        <v>0</v>
      </c>
      <c r="L24">
        <f>Raw!L24</f>
        <v>0</v>
      </c>
      <c r="M24">
        <f>Raw!M24</f>
        <v>0</v>
      </c>
      <c r="N24">
        <f>Raw!N24</f>
        <v>0</v>
      </c>
      <c r="O24">
        <f>Raw!O24</f>
        <v>0</v>
      </c>
    </row>
    <row r="25" spans="1:15">
      <c r="A25" t="s">
        <v>566</v>
      </c>
      <c r="B25" t="str">
        <f>Raw!B25</f>
        <v>VSD - Vacuum Pump</v>
      </c>
      <c r="C25" s="587">
        <f>Raw!C25</f>
        <v>4.8885865216023019</v>
      </c>
      <c r="D25">
        <f>Raw!D25</f>
        <v>15</v>
      </c>
      <c r="E25">
        <f>Raw!E25</f>
        <v>0.59537840461596525</v>
      </c>
      <c r="F25">
        <f>Raw!F25</f>
        <v>0</v>
      </c>
      <c r="G25" s="528" t="s">
        <v>788</v>
      </c>
      <c r="H25">
        <f>Raw!H25</f>
        <v>0</v>
      </c>
      <c r="I25">
        <f>Raw!I25</f>
        <v>0</v>
      </c>
      <c r="J25">
        <f>Raw!J25</f>
        <v>0</v>
      </c>
      <c r="K25">
        <f>Raw!K25</f>
        <v>0</v>
      </c>
      <c r="L25">
        <f>Raw!L25</f>
        <v>0</v>
      </c>
      <c r="M25">
        <f>Raw!M25</f>
        <v>0</v>
      </c>
      <c r="N25">
        <f>Raw!N25</f>
        <v>0</v>
      </c>
      <c r="O25">
        <f>Raw!O25</f>
        <v>0</v>
      </c>
    </row>
    <row r="26" spans="1:15">
      <c r="A26" t="s">
        <v>567</v>
      </c>
      <c r="B26" t="str">
        <f>Raw!B26</f>
        <v>Heat Recovery Refrigeration</v>
      </c>
      <c r="C26" s="587">
        <f>Raw!C26</f>
        <v>5.173293534972041</v>
      </c>
      <c r="D26">
        <f>Raw!D26</f>
        <v>15</v>
      </c>
      <c r="E26">
        <f>Raw!E26</f>
        <v>0.63250552514432767</v>
      </c>
      <c r="F26">
        <f>Raw!F26</f>
        <v>0</v>
      </c>
      <c r="G26" s="528" t="s">
        <v>788</v>
      </c>
      <c r="H26">
        <f>Raw!H26</f>
        <v>0</v>
      </c>
      <c r="I26">
        <f>Raw!I26</f>
        <v>0</v>
      </c>
      <c r="J26">
        <f>Raw!J26</f>
        <v>0</v>
      </c>
      <c r="K26">
        <f>Raw!K26</f>
        <v>0</v>
      </c>
      <c r="L26">
        <f>Raw!L26</f>
        <v>0</v>
      </c>
      <c r="M26">
        <f>Raw!M26</f>
        <v>0</v>
      </c>
      <c r="N26">
        <f>Raw!N26</f>
        <v>0</v>
      </c>
      <c r="O26">
        <f>Raw!O26</f>
        <v>0</v>
      </c>
    </row>
    <row r="27" spans="1:15">
      <c r="A27" t="s">
        <v>568</v>
      </c>
      <c r="B27" t="str">
        <f>Raw!B27</f>
        <v>Plate Milk Pre-Cooler</v>
      </c>
      <c r="C27" s="587">
        <f>Raw!C27</f>
        <v>4</v>
      </c>
      <c r="D27">
        <f>Raw!D27</f>
        <v>15</v>
      </c>
      <c r="E27">
        <f>Raw!E27</f>
        <v>0.45149651239206373</v>
      </c>
      <c r="F27">
        <f>Raw!F27</f>
        <v>0</v>
      </c>
      <c r="G27" s="528" t="s">
        <v>788</v>
      </c>
      <c r="H27">
        <f>Raw!H27</f>
        <v>0</v>
      </c>
      <c r="I27">
        <f>Raw!I27</f>
        <v>0</v>
      </c>
      <c r="J27">
        <f>Raw!J27</f>
        <v>0</v>
      </c>
      <c r="K27">
        <f>Raw!K27</f>
        <v>0</v>
      </c>
      <c r="L27">
        <f>Raw!L27</f>
        <v>0</v>
      </c>
      <c r="M27">
        <f>Raw!M27</f>
        <v>0</v>
      </c>
      <c r="N27">
        <f>Raw!N27</f>
        <v>0</v>
      </c>
      <c r="O27">
        <f>Raw!O27</f>
        <v>0</v>
      </c>
    </row>
    <row r="28" spans="1:15">
      <c r="A28" t="s">
        <v>569</v>
      </c>
      <c r="B28" t="str">
        <f>Raw!B28</f>
        <v>Energy Efficient Lighting</v>
      </c>
      <c r="C28" s="587">
        <f>Raw!C28</f>
        <v>2.8336615973578971</v>
      </c>
      <c r="D28">
        <f>Raw!D28</f>
        <v>15</v>
      </c>
      <c r="E28">
        <f>Raw!E28</f>
        <v>0.3776042842716732</v>
      </c>
      <c r="F28">
        <f>Raw!F28</f>
        <v>0</v>
      </c>
      <c r="G28" s="528" t="s">
        <v>577</v>
      </c>
      <c r="H28">
        <f>Raw!H28</f>
        <v>0</v>
      </c>
      <c r="I28">
        <f>Raw!I28</f>
        <v>0</v>
      </c>
      <c r="J28">
        <f>Raw!J28</f>
        <v>0</v>
      </c>
      <c r="K28">
        <f>Raw!K28</f>
        <v>0</v>
      </c>
      <c r="L28">
        <f>Raw!L28</f>
        <v>0</v>
      </c>
      <c r="M28">
        <f>Raw!M28</f>
        <v>0</v>
      </c>
      <c r="N28">
        <f>Raw!N28</f>
        <v>0</v>
      </c>
      <c r="O28">
        <f>Raw!O28</f>
        <v>0</v>
      </c>
    </row>
    <row r="29" spans="1:15">
      <c r="A29" t="s">
        <v>570</v>
      </c>
      <c r="B29" t="str">
        <f>Raw!B29</f>
        <v>VSD - Vacuum Pump</v>
      </c>
      <c r="C29" s="587">
        <f>Raw!C29</f>
        <v>6.9735697018533438</v>
      </c>
      <c r="D29">
        <f>Raw!D29</f>
        <v>15</v>
      </c>
      <c r="E29">
        <f>Raw!E29</f>
        <v>0.92996697553610974</v>
      </c>
      <c r="F29">
        <f>Raw!F29</f>
        <v>0</v>
      </c>
      <c r="G29" s="528" t="s">
        <v>788</v>
      </c>
      <c r="H29">
        <f>Raw!H29</f>
        <v>0</v>
      </c>
      <c r="I29">
        <f>Raw!I29</f>
        <v>0</v>
      </c>
      <c r="J29">
        <f>Raw!J29</f>
        <v>0</v>
      </c>
      <c r="K29">
        <f>Raw!K29</f>
        <v>0</v>
      </c>
      <c r="L29">
        <f>Raw!L29</f>
        <v>0</v>
      </c>
      <c r="M29">
        <f>Raw!M29</f>
        <v>0</v>
      </c>
      <c r="N29">
        <f>Raw!N29</f>
        <v>0</v>
      </c>
      <c r="O29">
        <f>Raw!O29</f>
        <v>0</v>
      </c>
    </row>
    <row r="30" spans="1:15">
      <c r="A30" t="s">
        <v>571</v>
      </c>
      <c r="B30" t="str">
        <f>Raw!B30</f>
        <v>Plate Milk Pre-cooler</v>
      </c>
      <c r="C30" s="587">
        <f>Raw!C30</f>
        <v>3.8581788879935535</v>
      </c>
      <c r="D30">
        <f>Raw!D30</f>
        <v>15</v>
      </c>
      <c r="E30">
        <f>Raw!E30</f>
        <v>0.51447889576687988</v>
      </c>
      <c r="F30">
        <f>Raw!F30</f>
        <v>0</v>
      </c>
      <c r="G30" s="528" t="s">
        <v>788</v>
      </c>
      <c r="H30">
        <f>Raw!H30</f>
        <v>0</v>
      </c>
      <c r="I30">
        <f>Raw!I30</f>
        <v>0</v>
      </c>
      <c r="J30">
        <f>Raw!J30</f>
        <v>0</v>
      </c>
      <c r="K30">
        <f>Raw!K30</f>
        <v>0</v>
      </c>
      <c r="L30">
        <f>Raw!L30</f>
        <v>0</v>
      </c>
      <c r="M30">
        <f>Raw!M30</f>
        <v>0</v>
      </c>
      <c r="N30">
        <f>Raw!N30</f>
        <v>0</v>
      </c>
      <c r="O30">
        <f>Raw!O30</f>
        <v>0</v>
      </c>
    </row>
    <row r="31" spans="1:15">
      <c r="A31" t="s">
        <v>572</v>
      </c>
      <c r="B31" t="str">
        <f>Raw!B31</f>
        <v>Energy Efficient Lighting</v>
      </c>
      <c r="C31" s="587">
        <f>Raw!C31</f>
        <v>0.5253004611929295</v>
      </c>
      <c r="D31">
        <f>Raw!D31</f>
        <v>15</v>
      </c>
      <c r="E31">
        <f>Raw!E31</f>
        <v>7.3963740963958288E-2</v>
      </c>
      <c r="F31">
        <f>Raw!F31</f>
        <v>0</v>
      </c>
      <c r="G31" s="528" t="s">
        <v>577</v>
      </c>
      <c r="H31">
        <f>Raw!H31</f>
        <v>0</v>
      </c>
      <c r="I31">
        <f>Raw!I31</f>
        <v>0</v>
      </c>
      <c r="J31">
        <f>Raw!J31</f>
        <v>0</v>
      </c>
      <c r="K31">
        <f>Raw!K31</f>
        <v>0</v>
      </c>
      <c r="L31">
        <f>Raw!L31</f>
        <v>0</v>
      </c>
      <c r="M31">
        <f>Raw!M31</f>
        <v>0</v>
      </c>
      <c r="N31">
        <f>Raw!N31</f>
        <v>0</v>
      </c>
      <c r="O31">
        <f>Raw!O31</f>
        <v>0</v>
      </c>
    </row>
    <row r="32" spans="1:15">
      <c r="A32" t="s">
        <v>573</v>
      </c>
      <c r="B32" t="str">
        <f>Raw!B32</f>
        <v>VSD - Vacuum Pump</v>
      </c>
      <c r="C32" s="587">
        <f>Raw!C32</f>
        <v>4.8885865216023019</v>
      </c>
      <c r="D32">
        <f>Raw!D32</f>
        <v>15</v>
      </c>
      <c r="E32">
        <f>Raw!E32</f>
        <v>0.59537840461596525</v>
      </c>
      <c r="F32">
        <f>Raw!F32</f>
        <v>0</v>
      </c>
      <c r="G32" s="528" t="s">
        <v>788</v>
      </c>
      <c r="H32">
        <f>Raw!H32</f>
        <v>0</v>
      </c>
      <c r="I32">
        <f>Raw!I32</f>
        <v>0</v>
      </c>
      <c r="J32">
        <f>Raw!J32</f>
        <v>0</v>
      </c>
      <c r="K32">
        <f>Raw!K32</f>
        <v>0</v>
      </c>
      <c r="L32">
        <f>Raw!L32</f>
        <v>0</v>
      </c>
      <c r="M32">
        <f>Raw!M32</f>
        <v>0</v>
      </c>
      <c r="N32">
        <f>Raw!N32</f>
        <v>0</v>
      </c>
      <c r="O32">
        <f>Raw!O32</f>
        <v>0</v>
      </c>
    </row>
    <row r="33" spans="1:35">
      <c r="A33" t="s">
        <v>574</v>
      </c>
      <c r="B33" t="str">
        <f>Raw!B33</f>
        <v>Heat Recovery Refrigeration</v>
      </c>
      <c r="C33" s="587">
        <f>Raw!C33</f>
        <v>5.173293534972041</v>
      </c>
      <c r="D33">
        <f>Raw!D33</f>
        <v>15</v>
      </c>
      <c r="E33">
        <f>Raw!E33</f>
        <v>0.63250552514432767</v>
      </c>
      <c r="F33">
        <f>Raw!F33</f>
        <v>0</v>
      </c>
      <c r="G33" s="528" t="s">
        <v>788</v>
      </c>
      <c r="H33">
        <f>Raw!H33</f>
        <v>0</v>
      </c>
      <c r="I33">
        <f>Raw!I33</f>
        <v>0</v>
      </c>
      <c r="J33">
        <f>Raw!J33</f>
        <v>0</v>
      </c>
      <c r="K33">
        <f>Raw!K33</f>
        <v>0</v>
      </c>
      <c r="L33">
        <f>Raw!L33</f>
        <v>0</v>
      </c>
      <c r="M33">
        <f>Raw!M33</f>
        <v>0</v>
      </c>
      <c r="N33">
        <f>Raw!N33</f>
        <v>0</v>
      </c>
      <c r="O33">
        <f>Raw!O33</f>
        <v>0</v>
      </c>
    </row>
    <row r="34" spans="1:35">
      <c r="A34" t="s">
        <v>575</v>
      </c>
      <c r="B34" t="str">
        <f>Raw!B34</f>
        <v>Plate Milk Pre-Cooler</v>
      </c>
      <c r="C34" s="587">
        <f>Raw!C34</f>
        <v>4</v>
      </c>
      <c r="D34">
        <f>Raw!D34</f>
        <v>15</v>
      </c>
      <c r="E34">
        <f>Raw!E34</f>
        <v>0.45149651239206373</v>
      </c>
      <c r="F34">
        <f>Raw!F34</f>
        <v>0</v>
      </c>
      <c r="G34" s="528" t="s">
        <v>788</v>
      </c>
      <c r="H34">
        <f>Raw!H34</f>
        <v>0</v>
      </c>
      <c r="I34">
        <f>Raw!I34</f>
        <v>0</v>
      </c>
      <c r="J34">
        <f>Raw!J34</f>
        <v>0</v>
      </c>
      <c r="K34">
        <f>Raw!K34</f>
        <v>0</v>
      </c>
      <c r="L34">
        <f>Raw!L34</f>
        <v>0</v>
      </c>
      <c r="M34">
        <f>Raw!M34</f>
        <v>0</v>
      </c>
      <c r="N34">
        <f>Raw!N34</f>
        <v>0</v>
      </c>
      <c r="O34">
        <f>Raw!O34</f>
        <v>0</v>
      </c>
    </row>
    <row r="35" spans="1:35">
      <c r="A35" t="s">
        <v>576</v>
      </c>
      <c r="B35" t="str">
        <f>Raw!B35</f>
        <v>Energy Efficient Lighting</v>
      </c>
      <c r="C35" s="587">
        <f>Raw!C35</f>
        <v>2.8336615973578971</v>
      </c>
      <c r="D35">
        <f>Raw!D35</f>
        <v>15</v>
      </c>
      <c r="E35">
        <f>Raw!E35</f>
        <v>0.3776042842716732</v>
      </c>
      <c r="F35">
        <f>Raw!F35</f>
        <v>0</v>
      </c>
      <c r="G35" s="528" t="s">
        <v>577</v>
      </c>
      <c r="H35">
        <f>Raw!H35</f>
        <v>0</v>
      </c>
      <c r="I35">
        <f>Raw!I35</f>
        <v>0</v>
      </c>
      <c r="J35">
        <f>Raw!J35</f>
        <v>0</v>
      </c>
      <c r="K35">
        <f>Raw!K35</f>
        <v>0</v>
      </c>
      <c r="L35">
        <f>Raw!L35</f>
        <v>0</v>
      </c>
      <c r="M35">
        <f>Raw!M35</f>
        <v>0</v>
      </c>
      <c r="N35">
        <f>Raw!N35</f>
        <v>0</v>
      </c>
      <c r="O35">
        <f>Raw!O35</f>
        <v>0</v>
      </c>
    </row>
    <row r="39" spans="1:35">
      <c r="A39" s="600" t="s">
        <v>605</v>
      </c>
      <c r="B39" s="601"/>
    </row>
    <row r="40" spans="1:35">
      <c r="A40" t="s">
        <v>606</v>
      </c>
      <c r="B40" t="s">
        <v>607</v>
      </c>
    </row>
    <row r="41" spans="1:35">
      <c r="A41" t="s">
        <v>608</v>
      </c>
      <c r="B41" t="s">
        <v>825</v>
      </c>
    </row>
    <row r="43" spans="1:35" ht="13.5" thickBot="1">
      <c r="A43" s="588" t="s">
        <v>609</v>
      </c>
      <c r="B43" s="602"/>
      <c r="C43" s="602"/>
      <c r="D43" s="602"/>
      <c r="E43" s="602"/>
      <c r="F43" s="602"/>
      <c r="G43" s="602"/>
      <c r="H43" s="602"/>
      <c r="I43" s="602"/>
      <c r="J43" s="602"/>
      <c r="K43" s="602"/>
      <c r="L43" s="602"/>
      <c r="M43" s="602"/>
      <c r="N43" s="602"/>
      <c r="O43" s="602"/>
      <c r="P43" s="602"/>
      <c r="Q43" s="602"/>
      <c r="R43" s="602"/>
      <c r="S43" s="602"/>
      <c r="T43" s="602"/>
      <c r="U43" s="602"/>
      <c r="V43" s="602"/>
      <c r="W43" s="602"/>
      <c r="X43" s="602"/>
      <c r="Y43" s="602"/>
      <c r="Z43" s="602"/>
      <c r="AA43" s="602"/>
      <c r="AB43" s="602"/>
      <c r="AC43" s="602"/>
      <c r="AD43" s="602"/>
      <c r="AE43" s="602"/>
      <c r="AF43" s="602"/>
      <c r="AG43" s="602"/>
      <c r="AH43" s="602"/>
      <c r="AI43" s="589"/>
    </row>
    <row r="44" spans="1:35">
      <c r="B44" s="603" t="s">
        <v>610</v>
      </c>
      <c r="C44" s="604"/>
      <c r="D44" s="604" t="s">
        <v>610</v>
      </c>
      <c r="E44" s="605"/>
      <c r="G44" s="603" t="s">
        <v>611</v>
      </c>
      <c r="H44" s="604"/>
      <c r="I44" s="604"/>
      <c r="J44" s="604"/>
      <c r="K44" s="604"/>
      <c r="L44" s="604"/>
      <c r="M44" s="604"/>
      <c r="N44" s="604"/>
      <c r="O44" s="605"/>
      <c r="Q44" s="603" t="s">
        <v>612</v>
      </c>
      <c r="R44" s="604"/>
      <c r="S44" s="604"/>
      <c r="T44" s="604"/>
      <c r="U44" s="605"/>
      <c r="W44" s="603" t="s">
        <v>613</v>
      </c>
      <c r="X44" s="605"/>
      <c r="Z44" s="603" t="s">
        <v>614</v>
      </c>
      <c r="AA44" s="604"/>
      <c r="AB44" s="605"/>
    </row>
    <row r="45" spans="1:35">
      <c r="B45" s="606" t="s">
        <v>615</v>
      </c>
      <c r="C45" s="22" t="s">
        <v>616</v>
      </c>
      <c r="D45" s="22" t="s">
        <v>615</v>
      </c>
      <c r="E45" s="607" t="s">
        <v>616</v>
      </c>
      <c r="G45" s="606" t="s">
        <v>617</v>
      </c>
      <c r="H45" s="22" t="s">
        <v>826</v>
      </c>
      <c r="I45" s="22"/>
      <c r="J45" s="22"/>
      <c r="K45" s="22" t="s">
        <v>618</v>
      </c>
      <c r="L45" s="22"/>
      <c r="M45" s="22"/>
      <c r="N45" s="22"/>
      <c r="O45" s="607"/>
      <c r="Q45" s="606"/>
      <c r="R45" s="22" t="s">
        <v>619</v>
      </c>
      <c r="S45" s="22" t="s">
        <v>620</v>
      </c>
      <c r="T45" s="22" t="s">
        <v>621</v>
      </c>
      <c r="U45" s="607" t="s">
        <v>622</v>
      </c>
      <c r="W45" s="606" t="s">
        <v>623</v>
      </c>
      <c r="X45" s="607">
        <v>20</v>
      </c>
      <c r="Z45" s="606"/>
      <c r="AA45" s="22" t="s">
        <v>616</v>
      </c>
      <c r="AB45" s="607" t="s">
        <v>624</v>
      </c>
    </row>
    <row r="46" spans="1:35">
      <c r="B46" s="606" t="s">
        <v>625</v>
      </c>
      <c r="C46" s="22" t="s">
        <v>626</v>
      </c>
      <c r="D46" s="22" t="s">
        <v>625</v>
      </c>
      <c r="E46" s="607" t="s">
        <v>626</v>
      </c>
      <c r="G46" s="606" t="s">
        <v>627</v>
      </c>
      <c r="H46" s="22" t="s">
        <v>628</v>
      </c>
      <c r="I46" s="22"/>
      <c r="J46" s="22"/>
      <c r="K46" s="22" t="s">
        <v>629</v>
      </c>
      <c r="L46" s="22"/>
      <c r="M46" s="22"/>
      <c r="N46" s="22"/>
      <c r="O46" s="607"/>
      <c r="Q46" s="606" t="s">
        <v>630</v>
      </c>
      <c r="R46" s="22">
        <v>6.7943795888335753E-2</v>
      </c>
      <c r="S46" s="22">
        <v>4.387844424080023E-2</v>
      </c>
      <c r="T46" s="22">
        <v>5.3289007766645871E-2</v>
      </c>
      <c r="U46" s="607">
        <v>5.447903102274565E-2</v>
      </c>
      <c r="W46" s="606" t="s">
        <v>631</v>
      </c>
      <c r="X46" s="607">
        <v>2016</v>
      </c>
      <c r="Z46" s="606" t="s">
        <v>632</v>
      </c>
      <c r="AA46" s="22">
        <v>4.03890184699085E-3</v>
      </c>
      <c r="AB46" s="607">
        <v>0.01</v>
      </c>
    </row>
    <row r="47" spans="1:35">
      <c r="B47" s="606" t="s">
        <v>633</v>
      </c>
      <c r="C47" s="22" t="s">
        <v>634</v>
      </c>
      <c r="D47" s="22" t="s">
        <v>633</v>
      </c>
      <c r="E47" s="607" t="s">
        <v>634</v>
      </c>
      <c r="G47" s="606" t="s">
        <v>635</v>
      </c>
      <c r="H47" s="22" t="s">
        <v>636</v>
      </c>
      <c r="I47" s="22"/>
      <c r="J47" s="22"/>
      <c r="K47" s="22" t="s">
        <v>637</v>
      </c>
      <c r="L47" s="22"/>
      <c r="M47" s="22"/>
      <c r="N47" s="22"/>
      <c r="O47" s="607"/>
      <c r="Q47" s="606" t="s">
        <v>638</v>
      </c>
      <c r="R47" s="22">
        <v>12</v>
      </c>
      <c r="S47" s="22">
        <v>12</v>
      </c>
      <c r="T47" s="22">
        <v>1</v>
      </c>
      <c r="U47" s="607">
        <v>1</v>
      </c>
      <c r="W47" s="606" t="s">
        <v>639</v>
      </c>
      <c r="X47" s="607">
        <v>2016</v>
      </c>
      <c r="Z47" s="606" t="s">
        <v>640</v>
      </c>
      <c r="AA47" s="22">
        <v>26</v>
      </c>
      <c r="AB47" s="607">
        <v>0</v>
      </c>
    </row>
    <row r="48" spans="1:35" ht="13.5" thickBot="1">
      <c r="B48" s="608" t="s">
        <v>641</v>
      </c>
      <c r="C48" s="609" t="s">
        <v>634</v>
      </c>
      <c r="D48" s="609" t="s">
        <v>641</v>
      </c>
      <c r="E48" s="610" t="s">
        <v>634</v>
      </c>
      <c r="G48" s="606" t="s">
        <v>642</v>
      </c>
      <c r="H48" s="22" t="s">
        <v>643</v>
      </c>
      <c r="I48" s="22"/>
      <c r="J48" s="22"/>
      <c r="K48" s="22" t="s">
        <v>629</v>
      </c>
      <c r="L48" s="22"/>
      <c r="M48" s="22"/>
      <c r="N48" s="22"/>
      <c r="O48" s="607"/>
      <c r="Q48" s="606"/>
      <c r="R48" s="22" t="s">
        <v>619</v>
      </c>
      <c r="S48" s="22" t="s">
        <v>620</v>
      </c>
      <c r="T48" s="22" t="s">
        <v>621</v>
      </c>
      <c r="U48" s="607" t="s">
        <v>622</v>
      </c>
      <c r="W48" s="606" t="s">
        <v>644</v>
      </c>
      <c r="X48" s="607">
        <v>2012</v>
      </c>
      <c r="Z48" s="606" t="s">
        <v>645</v>
      </c>
      <c r="AA48" s="22">
        <v>0.9</v>
      </c>
      <c r="AB48" s="607" t="s">
        <v>646</v>
      </c>
    </row>
    <row r="49" spans="1:101">
      <c r="G49" s="606" t="s">
        <v>647</v>
      </c>
      <c r="H49" s="22" t="s">
        <v>636</v>
      </c>
      <c r="I49" s="22"/>
      <c r="J49" s="22"/>
      <c r="K49" s="22"/>
      <c r="L49" s="22"/>
      <c r="M49" s="22"/>
      <c r="N49" s="22"/>
      <c r="O49" s="607"/>
      <c r="Q49" s="606" t="s">
        <v>648</v>
      </c>
      <c r="R49" s="22">
        <v>0.35</v>
      </c>
      <c r="S49" s="22">
        <v>0.19500000000000001</v>
      </c>
      <c r="T49" s="22">
        <v>0.45499999999999996</v>
      </c>
      <c r="U49" s="607">
        <v>0</v>
      </c>
      <c r="W49" s="606" t="s">
        <v>649</v>
      </c>
      <c r="X49" s="607">
        <v>0.04</v>
      </c>
      <c r="Z49" s="606" t="s">
        <v>650</v>
      </c>
      <c r="AA49" s="22">
        <v>4.7399348199455904E-2</v>
      </c>
      <c r="AB49" s="607">
        <v>0</v>
      </c>
    </row>
    <row r="50" spans="1:101">
      <c r="B50" t="s">
        <v>651</v>
      </c>
      <c r="C50" t="s">
        <v>616</v>
      </c>
      <c r="G50" s="606" t="s">
        <v>652</v>
      </c>
      <c r="H50" s="22" t="s">
        <v>653</v>
      </c>
      <c r="I50" s="22"/>
      <c r="J50" s="22"/>
      <c r="K50" s="22" t="s">
        <v>654</v>
      </c>
      <c r="L50" s="22"/>
      <c r="M50" s="22"/>
      <c r="N50" s="22"/>
      <c r="O50" s="607"/>
      <c r="Q50" s="606" t="s">
        <v>655</v>
      </c>
      <c r="R50" s="22">
        <v>1</v>
      </c>
      <c r="S50" s="22">
        <v>0</v>
      </c>
      <c r="T50" s="22">
        <v>0</v>
      </c>
      <c r="U50" s="607">
        <v>0</v>
      </c>
      <c r="W50" s="606" t="s">
        <v>656</v>
      </c>
      <c r="X50" s="607">
        <v>0</v>
      </c>
      <c r="Z50" s="606" t="s">
        <v>657</v>
      </c>
      <c r="AA50" s="22">
        <v>31</v>
      </c>
      <c r="AB50" s="607">
        <v>0</v>
      </c>
    </row>
    <row r="51" spans="1:101">
      <c r="B51" t="s">
        <v>658</v>
      </c>
      <c r="C51" t="s">
        <v>659</v>
      </c>
      <c r="G51" s="606" t="s">
        <v>660</v>
      </c>
      <c r="H51" s="22" t="s">
        <v>654</v>
      </c>
      <c r="I51" s="22"/>
      <c r="J51" s="22"/>
      <c r="K51" s="22" t="s">
        <v>661</v>
      </c>
      <c r="L51" s="22"/>
      <c r="M51" s="22"/>
      <c r="N51" s="22"/>
      <c r="O51" s="607"/>
      <c r="Q51" s="606" t="s">
        <v>662</v>
      </c>
      <c r="R51" s="22">
        <v>1</v>
      </c>
      <c r="S51" s="22">
        <v>0</v>
      </c>
      <c r="T51" s="22">
        <v>0</v>
      </c>
      <c r="U51" s="607">
        <v>0</v>
      </c>
      <c r="W51" s="606" t="s">
        <v>663</v>
      </c>
      <c r="X51" s="607">
        <v>0.2</v>
      </c>
      <c r="Z51" s="606" t="s">
        <v>664</v>
      </c>
      <c r="AA51" s="22">
        <v>0.7</v>
      </c>
      <c r="AB51" s="607" t="s">
        <v>646</v>
      </c>
    </row>
    <row r="52" spans="1:101">
      <c r="B52" t="s">
        <v>665</v>
      </c>
      <c r="C52" t="s">
        <v>666</v>
      </c>
      <c r="G52" s="606" t="s">
        <v>667</v>
      </c>
      <c r="H52" s="22" t="s">
        <v>661</v>
      </c>
      <c r="I52" s="22"/>
      <c r="J52" s="22"/>
      <c r="K52" s="22" t="s">
        <v>668</v>
      </c>
      <c r="L52" s="22"/>
      <c r="M52" s="22"/>
      <c r="N52" s="22"/>
      <c r="O52" s="607"/>
      <c r="Q52" s="606" t="s">
        <v>669</v>
      </c>
      <c r="R52" s="22"/>
      <c r="S52" s="22">
        <v>0.3</v>
      </c>
      <c r="T52" s="22">
        <v>0.7</v>
      </c>
      <c r="U52" s="607">
        <v>0</v>
      </c>
      <c r="W52" s="606" t="s">
        <v>670</v>
      </c>
      <c r="X52" s="607">
        <v>0</v>
      </c>
      <c r="Z52" s="606" t="s">
        <v>671</v>
      </c>
      <c r="AA52" s="22">
        <v>0</v>
      </c>
      <c r="AB52" s="607">
        <v>0</v>
      </c>
    </row>
    <row r="53" spans="1:101" ht="13.5" thickBot="1">
      <c r="B53" t="s">
        <v>672</v>
      </c>
      <c r="C53" t="s">
        <v>673</v>
      </c>
      <c r="G53" s="608" t="s">
        <v>674</v>
      </c>
      <c r="H53" s="609" t="s">
        <v>668</v>
      </c>
      <c r="I53" s="609"/>
      <c r="J53" s="609"/>
      <c r="K53" s="609"/>
      <c r="L53" s="609"/>
      <c r="M53" s="609"/>
      <c r="N53" s="609"/>
      <c r="O53" s="610"/>
      <c r="Q53" s="608" t="s">
        <v>675</v>
      </c>
      <c r="R53" s="609"/>
      <c r="S53" s="609">
        <v>20</v>
      </c>
      <c r="T53" s="609"/>
      <c r="U53" s="610"/>
      <c r="W53" s="608" t="s">
        <v>676</v>
      </c>
      <c r="X53" s="610">
        <v>2018</v>
      </c>
      <c r="Z53" s="608" t="s">
        <v>677</v>
      </c>
      <c r="AA53" s="609">
        <v>0</v>
      </c>
      <c r="AB53" s="610">
        <v>0</v>
      </c>
    </row>
    <row r="61" spans="1:101" ht="13.5" thickBot="1">
      <c r="A61" s="588" t="s">
        <v>678</v>
      </c>
      <c r="B61" s="589"/>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row>
    <row r="62" spans="1:101" ht="26.25" thickBot="1">
      <c r="A62" s="611" t="s">
        <v>679</v>
      </c>
      <c r="B62" s="612"/>
      <c r="C62" s="613" t="s">
        <v>680</v>
      </c>
      <c r="D62" s="614"/>
      <c r="E62" s="614"/>
      <c r="F62" s="614"/>
      <c r="G62" s="614"/>
      <c r="H62" s="614"/>
      <c r="I62" s="614"/>
      <c r="J62" s="614"/>
      <c r="K62" s="615"/>
      <c r="L62" s="613" t="s">
        <v>279</v>
      </c>
      <c r="M62" s="614"/>
      <c r="N62" s="614"/>
      <c r="O62" s="614"/>
      <c r="P62" s="614"/>
      <c r="Q62" s="615"/>
      <c r="R62" s="613" t="s">
        <v>681</v>
      </c>
      <c r="S62" s="614"/>
      <c r="T62" s="614"/>
      <c r="U62" s="615"/>
      <c r="V62" s="613" t="s">
        <v>682</v>
      </c>
      <c r="W62" s="614"/>
      <c r="X62" s="614"/>
      <c r="Y62" s="615"/>
      <c r="Z62" s="613" t="s">
        <v>683</v>
      </c>
      <c r="AA62" s="614"/>
      <c r="AB62" s="614"/>
      <c r="AC62" s="615"/>
      <c r="AD62" s="613" t="s">
        <v>684</v>
      </c>
      <c r="AE62" s="614"/>
      <c r="AF62" s="614"/>
      <c r="AG62" s="615"/>
      <c r="AH62" s="613" t="s">
        <v>685</v>
      </c>
      <c r="AI62" s="614"/>
      <c r="AJ62" s="614"/>
      <c r="AK62" s="614"/>
      <c r="AL62" s="615"/>
      <c r="AM62" s="613" t="s">
        <v>686</v>
      </c>
      <c r="AN62" s="614"/>
      <c r="AO62" s="614"/>
      <c r="AP62" s="614"/>
      <c r="AQ62" s="614"/>
      <c r="AR62" s="614"/>
      <c r="AS62" s="615"/>
      <c r="AT62" s="613" t="s">
        <v>687</v>
      </c>
      <c r="AU62" s="614"/>
      <c r="AV62" s="614"/>
      <c r="AW62" s="614"/>
      <c r="AX62" s="614"/>
      <c r="AY62" s="614"/>
      <c r="AZ62" s="615"/>
      <c r="BA62" s="613" t="s">
        <v>688</v>
      </c>
      <c r="BB62" s="614"/>
      <c r="BC62" s="614"/>
      <c r="BD62" s="614"/>
      <c r="BE62" s="614"/>
      <c r="BF62" s="615"/>
      <c r="BG62" s="613" t="s">
        <v>689</v>
      </c>
      <c r="BH62" s="615"/>
      <c r="BI62" s="613" t="s">
        <v>690</v>
      </c>
      <c r="BJ62" s="614"/>
      <c r="BK62" s="614"/>
      <c r="BL62" s="614"/>
      <c r="BM62" s="615"/>
      <c r="BN62" s="613" t="s">
        <v>691</v>
      </c>
      <c r="BO62" s="614"/>
      <c r="BP62" s="614"/>
      <c r="BQ62" s="614"/>
      <c r="BR62" s="614"/>
      <c r="BS62" s="614"/>
      <c r="BT62" s="614"/>
      <c r="BU62" s="614"/>
      <c r="BV62" s="614"/>
      <c r="BW62" s="614"/>
      <c r="BX62" s="614"/>
      <c r="BY62" s="614"/>
      <c r="BZ62" s="614"/>
      <c r="CA62" s="614"/>
      <c r="CB62" s="614"/>
      <c r="CC62" s="615"/>
      <c r="CD62" s="613" t="s">
        <v>692</v>
      </c>
      <c r="CE62" s="615"/>
      <c r="CF62" s="613" t="s">
        <v>693</v>
      </c>
      <c r="CG62" s="614"/>
      <c r="CH62" s="614"/>
      <c r="CI62" s="614"/>
      <c r="CJ62" s="614"/>
      <c r="CK62" s="615"/>
      <c r="CL62" s="616"/>
      <c r="CM62" s="613" t="s">
        <v>259</v>
      </c>
      <c r="CN62" s="614"/>
      <c r="CO62" s="614"/>
      <c r="CP62" s="615"/>
      <c r="CQ62" s="613" t="s">
        <v>694</v>
      </c>
      <c r="CR62" s="614"/>
      <c r="CS62" s="614"/>
      <c r="CT62" s="614"/>
      <c r="CU62" s="615"/>
      <c r="CV62" s="613" t="s">
        <v>695</v>
      </c>
      <c r="CW62" s="615"/>
    </row>
    <row r="63" spans="1:101" ht="216.75">
      <c r="A63" s="596" t="s">
        <v>581</v>
      </c>
      <c r="B63" s="597" t="s">
        <v>582</v>
      </c>
      <c r="C63" s="598" t="s">
        <v>498</v>
      </c>
      <c r="D63" s="598" t="s">
        <v>696</v>
      </c>
      <c r="E63" s="598" t="s">
        <v>697</v>
      </c>
      <c r="F63" s="598" t="s">
        <v>698</v>
      </c>
      <c r="G63" s="598" t="s">
        <v>699</v>
      </c>
      <c r="H63" s="598" t="s">
        <v>700</v>
      </c>
      <c r="I63" s="598" t="s">
        <v>701</v>
      </c>
      <c r="J63" s="598" t="s">
        <v>702</v>
      </c>
      <c r="K63" s="598" t="s">
        <v>703</v>
      </c>
      <c r="L63" s="598" t="s">
        <v>704</v>
      </c>
      <c r="M63" s="598" t="s">
        <v>705</v>
      </c>
      <c r="N63" s="598" t="s">
        <v>706</v>
      </c>
      <c r="O63" s="598" t="s">
        <v>707</v>
      </c>
      <c r="P63" s="598" t="s">
        <v>708</v>
      </c>
      <c r="Q63" s="598" t="s">
        <v>709</v>
      </c>
      <c r="R63" s="598" t="s">
        <v>710</v>
      </c>
      <c r="S63" s="598" t="s">
        <v>711</v>
      </c>
      <c r="T63" s="598" t="s">
        <v>712</v>
      </c>
      <c r="U63" s="598" t="s">
        <v>619</v>
      </c>
      <c r="V63" s="598" t="s">
        <v>710</v>
      </c>
      <c r="W63" s="598" t="s">
        <v>711</v>
      </c>
      <c r="X63" s="598" t="s">
        <v>712</v>
      </c>
      <c r="Y63" s="598" t="s">
        <v>619</v>
      </c>
      <c r="Z63" s="598" t="s">
        <v>710</v>
      </c>
      <c r="AA63" s="598" t="s">
        <v>711</v>
      </c>
      <c r="AB63" s="598" t="s">
        <v>712</v>
      </c>
      <c r="AC63" s="598" t="s">
        <v>619</v>
      </c>
      <c r="AD63" s="598" t="s">
        <v>710</v>
      </c>
      <c r="AE63" s="598" t="s">
        <v>711</v>
      </c>
      <c r="AF63" s="598" t="s">
        <v>712</v>
      </c>
      <c r="AG63" s="598" t="s">
        <v>619</v>
      </c>
      <c r="AH63" s="598" t="s">
        <v>710</v>
      </c>
      <c r="AI63" s="598" t="s">
        <v>711</v>
      </c>
      <c r="AJ63" s="598" t="s">
        <v>712</v>
      </c>
      <c r="AK63" s="598" t="s">
        <v>619</v>
      </c>
      <c r="AL63" s="598" t="s">
        <v>280</v>
      </c>
      <c r="AM63" s="598" t="s">
        <v>713</v>
      </c>
      <c r="AN63" s="598" t="s">
        <v>714</v>
      </c>
      <c r="AO63" s="598" t="s">
        <v>715</v>
      </c>
      <c r="AP63" s="598" t="s">
        <v>716</v>
      </c>
      <c r="AQ63" s="598" t="s">
        <v>717</v>
      </c>
      <c r="AR63" s="598" t="s">
        <v>718</v>
      </c>
      <c r="AS63" s="598" t="s">
        <v>719</v>
      </c>
      <c r="AT63" s="598" t="s">
        <v>720</v>
      </c>
      <c r="AU63" s="598" t="s">
        <v>721</v>
      </c>
      <c r="AV63" s="598" t="s">
        <v>722</v>
      </c>
      <c r="AW63" s="598" t="s">
        <v>723</v>
      </c>
      <c r="AX63" s="598" t="s">
        <v>724</v>
      </c>
      <c r="AY63" s="598" t="s">
        <v>725</v>
      </c>
      <c r="AZ63" s="598" t="s">
        <v>726</v>
      </c>
      <c r="BA63" s="598" t="s">
        <v>727</v>
      </c>
      <c r="BB63" s="598" t="s">
        <v>728</v>
      </c>
      <c r="BC63" s="598" t="s">
        <v>729</v>
      </c>
      <c r="BD63" s="598" t="s">
        <v>730</v>
      </c>
      <c r="BE63" s="598" t="s">
        <v>731</v>
      </c>
      <c r="BF63" s="598" t="s">
        <v>732</v>
      </c>
      <c r="BG63" s="598" t="s">
        <v>733</v>
      </c>
      <c r="BH63" s="598" t="s">
        <v>734</v>
      </c>
      <c r="BI63" s="598" t="s">
        <v>735</v>
      </c>
      <c r="BJ63" s="598" t="s">
        <v>736</v>
      </c>
      <c r="BK63" s="598" t="s">
        <v>737</v>
      </c>
      <c r="BL63" s="598" t="s">
        <v>738</v>
      </c>
      <c r="BM63" s="598" t="s">
        <v>739</v>
      </c>
      <c r="BN63" s="598" t="s">
        <v>740</v>
      </c>
      <c r="BO63" s="598" t="s">
        <v>741</v>
      </c>
      <c r="BP63" s="598" t="s">
        <v>742</v>
      </c>
      <c r="BQ63" s="598" t="s">
        <v>743</v>
      </c>
      <c r="BR63" s="598" t="s">
        <v>744</v>
      </c>
      <c r="BS63" s="598" t="s">
        <v>745</v>
      </c>
      <c r="BT63" s="598" t="s">
        <v>746</v>
      </c>
      <c r="BU63" s="598" t="s">
        <v>747</v>
      </c>
      <c r="BV63" s="598" t="s">
        <v>748</v>
      </c>
      <c r="BW63" s="598" t="s">
        <v>749</v>
      </c>
      <c r="BX63" s="598" t="s">
        <v>750</v>
      </c>
      <c r="BY63" s="598" t="s">
        <v>751</v>
      </c>
      <c r="BZ63" s="598" t="s">
        <v>752</v>
      </c>
      <c r="CA63" s="598" t="s">
        <v>753</v>
      </c>
      <c r="CB63" s="598" t="s">
        <v>754</v>
      </c>
      <c r="CC63" s="598" t="s">
        <v>755</v>
      </c>
      <c r="CD63" s="598" t="s">
        <v>590</v>
      </c>
      <c r="CE63" s="598" t="s">
        <v>384</v>
      </c>
      <c r="CF63" s="598" t="s">
        <v>756</v>
      </c>
      <c r="CG63" s="598" t="s">
        <v>757</v>
      </c>
      <c r="CH63" s="598" t="s">
        <v>758</v>
      </c>
      <c r="CI63" s="598" t="s">
        <v>759</v>
      </c>
      <c r="CJ63" s="598" t="s">
        <v>760</v>
      </c>
      <c r="CK63" s="598" t="s">
        <v>761</v>
      </c>
      <c r="CL63" s="598"/>
      <c r="CM63" s="598" t="s">
        <v>762</v>
      </c>
      <c r="CN63" s="598" t="s">
        <v>763</v>
      </c>
      <c r="CO63" s="598" t="s">
        <v>764</v>
      </c>
      <c r="CP63" s="598" t="s">
        <v>765</v>
      </c>
      <c r="CQ63" s="598" t="s">
        <v>766</v>
      </c>
      <c r="CR63" s="598" t="s">
        <v>767</v>
      </c>
      <c r="CS63" s="598" t="s">
        <v>768</v>
      </c>
      <c r="CT63" s="598" t="s">
        <v>769</v>
      </c>
      <c r="CU63" s="598" t="s">
        <v>770</v>
      </c>
      <c r="CV63" s="598" t="s">
        <v>771</v>
      </c>
      <c r="CW63" s="617" t="s">
        <v>772</v>
      </c>
    </row>
    <row r="64" spans="1:101">
      <c r="A64" t="s">
        <v>549</v>
      </c>
      <c r="B64" t="s">
        <v>137</v>
      </c>
      <c r="C64" s="18">
        <v>15</v>
      </c>
      <c r="D64" s="18">
        <v>6.9735697018533438</v>
      </c>
      <c r="E64" s="18">
        <v>0</v>
      </c>
      <c r="F64" s="18">
        <v>0.92996697553610974</v>
      </c>
      <c r="G64" s="18">
        <v>0</v>
      </c>
      <c r="H64" s="18">
        <v>0</v>
      </c>
      <c r="I64" s="18" t="s">
        <v>788</v>
      </c>
      <c r="J64" s="18"/>
      <c r="K64" s="18"/>
      <c r="L64" s="18">
        <v>7.4915370557043142</v>
      </c>
      <c r="M64" s="18">
        <v>2.5652026670245219E-3</v>
      </c>
      <c r="N64" s="18">
        <v>2.5466881845226013E-3</v>
      </c>
      <c r="O64" s="18">
        <v>0</v>
      </c>
      <c r="P64" s="18">
        <v>0</v>
      </c>
      <c r="Q64" s="18">
        <v>0</v>
      </c>
      <c r="R64" s="18">
        <v>0.18544783788776309</v>
      </c>
      <c r="S64" s="18">
        <v>0.42854174690170277</v>
      </c>
      <c r="T64" s="18">
        <v>0</v>
      </c>
      <c r="U64" s="18">
        <v>0.62202873211024334</v>
      </c>
      <c r="V64" s="18" t="s">
        <v>773</v>
      </c>
      <c r="W64" s="18" t="s">
        <v>773</v>
      </c>
      <c r="X64" s="18" t="s">
        <v>773</v>
      </c>
      <c r="Y64" s="18" t="s">
        <v>773</v>
      </c>
      <c r="Z64" s="18">
        <v>0</v>
      </c>
      <c r="AA64" s="18">
        <v>0</v>
      </c>
      <c r="AB64" s="18">
        <v>0</v>
      </c>
      <c r="AC64" s="18">
        <v>0</v>
      </c>
      <c r="AD64" s="18">
        <v>0</v>
      </c>
      <c r="AE64" s="18">
        <v>0</v>
      </c>
      <c r="AF64" s="18">
        <v>0</v>
      </c>
      <c r="AG64" s="18">
        <v>0</v>
      </c>
      <c r="AH64" s="18">
        <v>0.18544783788776309</v>
      </c>
      <c r="AI64" s="18">
        <v>0.42854174690170277</v>
      </c>
      <c r="AJ64" s="18">
        <v>0</v>
      </c>
      <c r="AK64" s="18">
        <v>0.62202873211024334</v>
      </c>
      <c r="AL64" s="18">
        <v>1.2360183168997092</v>
      </c>
      <c r="AM64" s="18">
        <v>3.8581611869356314</v>
      </c>
      <c r="AN64" s="18">
        <v>0.90641047603196301</v>
      </c>
      <c r="AO64" s="18">
        <v>0</v>
      </c>
      <c r="AP64" s="18">
        <v>0</v>
      </c>
      <c r="AQ64" s="18">
        <v>4.7645716629675947</v>
      </c>
      <c r="AR64" s="18">
        <v>0.18544783788776309</v>
      </c>
      <c r="AS64" s="599">
        <v>25.692247034183342</v>
      </c>
      <c r="AT64" s="18">
        <v>3.8581611869356314</v>
      </c>
      <c r="AU64" s="18">
        <v>1.0729200293225984</v>
      </c>
      <c r="AV64" s="18">
        <v>0</v>
      </c>
      <c r="AW64" s="18">
        <v>0</v>
      </c>
      <c r="AX64" s="18">
        <v>4.9310812162582298</v>
      </c>
      <c r="AY64" s="18">
        <v>0.42854174690170277</v>
      </c>
      <c r="AZ64" s="599">
        <v>11.506653090181437</v>
      </c>
      <c r="BA64" s="18">
        <v>3.8581611869356314</v>
      </c>
      <c r="BB64" s="18">
        <v>1.9793305053545613</v>
      </c>
      <c r="BC64" s="18">
        <v>0</v>
      </c>
      <c r="BD64" s="18">
        <v>0</v>
      </c>
      <c r="BE64" s="18">
        <v>5.8374916922901932</v>
      </c>
      <c r="BF64" s="18">
        <v>0.61398958478946586</v>
      </c>
      <c r="BG64" s="18">
        <v>-13.410355442877277</v>
      </c>
      <c r="BH64" s="599">
        <v>9.5074767339772404</v>
      </c>
      <c r="BI64" s="18">
        <v>1.8214655290333521</v>
      </c>
      <c r="BJ64" s="18">
        <v>4.2091297942530161</v>
      </c>
      <c r="BK64" s="18">
        <v>0</v>
      </c>
      <c r="BL64" s="18">
        <v>6.1095556923820666</v>
      </c>
      <c r="BM64" s="18">
        <v>12.140151015668433</v>
      </c>
      <c r="BN64" s="18">
        <v>3.8581611869356314</v>
      </c>
      <c r="BO64" s="18">
        <v>0</v>
      </c>
      <c r="BP64" s="18">
        <v>1.9793305053545613</v>
      </c>
      <c r="BQ64" s="18">
        <v>0</v>
      </c>
      <c r="BR64" s="18">
        <v>0</v>
      </c>
      <c r="BS64" s="18">
        <v>0</v>
      </c>
      <c r="BT64" s="18">
        <v>0</v>
      </c>
      <c r="BU64" s="18">
        <v>0</v>
      </c>
      <c r="BV64" s="18">
        <v>0</v>
      </c>
      <c r="BW64" s="18">
        <v>0</v>
      </c>
      <c r="BX64" s="18">
        <v>1.2360183168997092</v>
      </c>
      <c r="BY64" s="18"/>
      <c r="BZ64" s="18">
        <v>0</v>
      </c>
      <c r="CA64" s="18">
        <v>0</v>
      </c>
      <c r="CB64" s="18">
        <v>5.8374916922901932</v>
      </c>
      <c r="CC64" s="18">
        <v>1.2360183168997092</v>
      </c>
      <c r="CD64" s="599">
        <v>4.7228197288631675</v>
      </c>
      <c r="CE64" s="18">
        <v>-7.3007997504952051</v>
      </c>
      <c r="CF64" s="18">
        <v>7.1170401035891229E-2</v>
      </c>
      <c r="CG64" s="18">
        <v>0</v>
      </c>
      <c r="CH64" s="18">
        <v>7.1170401035891229E-2</v>
      </c>
      <c r="CI64" s="18">
        <v>3.5584801014595471E-3</v>
      </c>
      <c r="CJ64" s="18">
        <v>0</v>
      </c>
      <c r="CK64" s="18">
        <v>3.5584801014595471E-3</v>
      </c>
      <c r="CL64" s="18"/>
      <c r="CM64" s="18">
        <v>0</v>
      </c>
      <c r="CN64" s="18"/>
      <c r="CO64" s="18">
        <v>0</v>
      </c>
      <c r="CP64" s="18">
        <v>0</v>
      </c>
      <c r="CQ64" s="18">
        <v>0</v>
      </c>
      <c r="CR64" s="18">
        <v>0</v>
      </c>
      <c r="CS64" s="18">
        <v>0</v>
      </c>
      <c r="CT64" s="18">
        <v>0</v>
      </c>
      <c r="CU64" s="18">
        <v>0</v>
      </c>
      <c r="CV64" s="18">
        <v>9999</v>
      </c>
      <c r="CW64" s="599">
        <v>9999</v>
      </c>
    </row>
    <row r="65" spans="1:101">
      <c r="A65" t="s">
        <v>550</v>
      </c>
      <c r="B65" t="s">
        <v>138</v>
      </c>
      <c r="C65" s="18">
        <v>15</v>
      </c>
      <c r="D65" s="18">
        <v>3.8581788879935535</v>
      </c>
      <c r="E65" s="18">
        <v>0</v>
      </c>
      <c r="F65" s="18">
        <v>0.51447889576687988</v>
      </c>
      <c r="G65" s="18">
        <v>0</v>
      </c>
      <c r="H65" s="18">
        <v>0</v>
      </c>
      <c r="I65" s="18" t="s">
        <v>788</v>
      </c>
      <c r="J65" s="18"/>
      <c r="K65" s="18"/>
      <c r="L65" s="18">
        <v>4.1447481480335853</v>
      </c>
      <c r="M65" s="18">
        <v>1.4192173013927816E-3</v>
      </c>
      <c r="N65" s="18">
        <v>1.4089740273502131E-3</v>
      </c>
      <c r="O65" s="18">
        <v>0</v>
      </c>
      <c r="P65" s="18">
        <v>0</v>
      </c>
      <c r="Q65" s="18">
        <v>0</v>
      </c>
      <c r="R65" s="18">
        <v>0.10259396448336253</v>
      </c>
      <c r="S65" s="18">
        <v>0.23707904746713973</v>
      </c>
      <c r="T65" s="18">
        <v>0</v>
      </c>
      <c r="U65" s="18">
        <v>0.34412045120942492</v>
      </c>
      <c r="V65" s="18" t="s">
        <v>773</v>
      </c>
      <c r="W65" s="18" t="s">
        <v>773</v>
      </c>
      <c r="X65" s="18" t="s">
        <v>773</v>
      </c>
      <c r="Y65" s="18" t="s">
        <v>773</v>
      </c>
      <c r="Z65" s="18">
        <v>0</v>
      </c>
      <c r="AA65" s="18">
        <v>0</v>
      </c>
      <c r="AB65" s="18">
        <v>0</v>
      </c>
      <c r="AC65" s="18">
        <v>0</v>
      </c>
      <c r="AD65" s="18">
        <v>0</v>
      </c>
      <c r="AE65" s="18">
        <v>0</v>
      </c>
      <c r="AF65" s="18">
        <v>0</v>
      </c>
      <c r="AG65" s="18">
        <v>0</v>
      </c>
      <c r="AH65" s="18">
        <v>0.10259396448336253</v>
      </c>
      <c r="AI65" s="18">
        <v>0.23707904746713973</v>
      </c>
      <c r="AJ65" s="18">
        <v>0</v>
      </c>
      <c r="AK65" s="18">
        <v>0.34412045120942492</v>
      </c>
      <c r="AL65" s="18">
        <v>0.68379346315992717</v>
      </c>
      <c r="AM65" s="18">
        <v>2.1345561418788366</v>
      </c>
      <c r="AN65" s="18">
        <v>0.50147828328915889</v>
      </c>
      <c r="AO65" s="18">
        <v>0</v>
      </c>
      <c r="AP65" s="18">
        <v>0</v>
      </c>
      <c r="AQ65" s="18">
        <v>2.6360344251679955</v>
      </c>
      <c r="AR65" s="18">
        <v>0.10259396448336253</v>
      </c>
      <c r="AS65" s="599">
        <v>25.693854784171794</v>
      </c>
      <c r="AT65" s="18">
        <v>2.1345561418788366</v>
      </c>
      <c r="AU65" s="18">
        <v>0.59360092214145754</v>
      </c>
      <c r="AV65" s="18">
        <v>0</v>
      </c>
      <c r="AW65" s="18">
        <v>0</v>
      </c>
      <c r="AX65" s="18">
        <v>2.7281570640202943</v>
      </c>
      <c r="AY65" s="18">
        <v>0.23707904746713973</v>
      </c>
      <c r="AZ65" s="599">
        <v>11.507373144809137</v>
      </c>
      <c r="BA65" s="18">
        <v>2.1345561418788366</v>
      </c>
      <c r="BB65" s="18">
        <v>1.0950792054306164</v>
      </c>
      <c r="BC65" s="18">
        <v>0</v>
      </c>
      <c r="BD65" s="18">
        <v>0</v>
      </c>
      <c r="BE65" s="18">
        <v>3.2296353473094532</v>
      </c>
      <c r="BF65" s="18">
        <v>0.33967301195050226</v>
      </c>
      <c r="BG65" s="18">
        <v>-13.410732797293061</v>
      </c>
      <c r="BH65" s="599">
        <v>9.5080716856600933</v>
      </c>
      <c r="BI65" s="18">
        <v>1.8213515538743963</v>
      </c>
      <c r="BJ65" s="18">
        <v>4.2088664149961925</v>
      </c>
      <c r="BK65" s="18">
        <v>0</v>
      </c>
      <c r="BL65" s="18">
        <v>6.1091733971532571</v>
      </c>
      <c r="BM65" s="18">
        <v>12.139391366023846</v>
      </c>
      <c r="BN65" s="18">
        <v>2.1345561418788366</v>
      </c>
      <c r="BO65" s="18">
        <v>0</v>
      </c>
      <c r="BP65" s="18">
        <v>1.0950792054306164</v>
      </c>
      <c r="BQ65" s="18">
        <v>0</v>
      </c>
      <c r="BR65" s="18">
        <v>0</v>
      </c>
      <c r="BS65" s="18">
        <v>0</v>
      </c>
      <c r="BT65" s="18">
        <v>0</v>
      </c>
      <c r="BU65" s="18">
        <v>0</v>
      </c>
      <c r="BV65" s="18">
        <v>0</v>
      </c>
      <c r="BW65" s="18">
        <v>0</v>
      </c>
      <c r="BX65" s="18">
        <v>0.68379346315992717</v>
      </c>
      <c r="BY65" s="18"/>
      <c r="BZ65" s="18">
        <v>0</v>
      </c>
      <c r="CA65" s="18">
        <v>0</v>
      </c>
      <c r="CB65" s="18">
        <v>3.2296353473094532</v>
      </c>
      <c r="CC65" s="18">
        <v>0.68379346315992717</v>
      </c>
      <c r="CD65" s="599">
        <v>4.7231152699014594</v>
      </c>
      <c r="CE65" s="18">
        <v>-7.3015594001398068</v>
      </c>
      <c r="CF65" s="18">
        <v>3.9375549462670932E-2</v>
      </c>
      <c r="CG65" s="18">
        <v>0</v>
      </c>
      <c r="CH65" s="18">
        <v>3.9375549462670932E-2</v>
      </c>
      <c r="CI65" s="18">
        <v>1.9687553703159524E-3</v>
      </c>
      <c r="CJ65" s="18">
        <v>0</v>
      </c>
      <c r="CK65" s="18">
        <v>1.9687553703159524E-3</v>
      </c>
      <c r="CL65" s="18"/>
      <c r="CM65" s="18">
        <v>0</v>
      </c>
      <c r="CN65" s="18"/>
      <c r="CO65" s="18">
        <v>0</v>
      </c>
      <c r="CP65" s="18">
        <v>0</v>
      </c>
      <c r="CQ65" s="18">
        <v>0</v>
      </c>
      <c r="CR65" s="18">
        <v>0</v>
      </c>
      <c r="CS65" s="18">
        <v>0</v>
      </c>
      <c r="CT65" s="18">
        <v>0</v>
      </c>
      <c r="CU65" s="18">
        <v>0</v>
      </c>
      <c r="CV65" s="18">
        <v>9999</v>
      </c>
      <c r="CW65" s="599">
        <v>9999</v>
      </c>
    </row>
    <row r="66" spans="1:101">
      <c r="A66" t="s">
        <v>551</v>
      </c>
      <c r="B66" t="s">
        <v>139</v>
      </c>
      <c r="C66" s="18">
        <v>15</v>
      </c>
      <c r="D66" s="18">
        <v>0.5253004611929295</v>
      </c>
      <c r="E66" s="18">
        <v>0</v>
      </c>
      <c r="F66" s="18">
        <v>7.3963740963958288E-2</v>
      </c>
      <c r="G66" s="18">
        <v>0</v>
      </c>
      <c r="H66" s="18">
        <v>0</v>
      </c>
      <c r="I66" s="18" t="s">
        <v>577</v>
      </c>
      <c r="J66" s="18"/>
      <c r="K66" s="18"/>
      <c r="L66" s="18">
        <v>0.56446323784331998</v>
      </c>
      <c r="M66" s="18">
        <v>9.9436746959285252E-5</v>
      </c>
      <c r="N66" s="18">
        <v>9.8719057111503719E-5</v>
      </c>
      <c r="O66" s="18">
        <v>0</v>
      </c>
      <c r="P66" s="18">
        <v>0</v>
      </c>
      <c r="Q66" s="18">
        <v>0</v>
      </c>
      <c r="R66" s="18">
        <v>1.4749357993007618E-2</v>
      </c>
      <c r="S66" s="18">
        <v>3.4083522957153618E-2</v>
      </c>
      <c r="T66" s="18">
        <v>0</v>
      </c>
      <c r="U66" s="18">
        <v>4.9472264310696484E-2</v>
      </c>
      <c r="V66" s="18" t="s">
        <v>773</v>
      </c>
      <c r="W66" s="18" t="s">
        <v>773</v>
      </c>
      <c r="X66" s="18" t="s">
        <v>773</v>
      </c>
      <c r="Y66" s="18" t="s">
        <v>773</v>
      </c>
      <c r="Z66" s="18">
        <v>0</v>
      </c>
      <c r="AA66" s="18">
        <v>0</v>
      </c>
      <c r="AB66" s="18">
        <v>0</v>
      </c>
      <c r="AC66" s="18">
        <v>0</v>
      </c>
      <c r="AD66" s="18">
        <v>0</v>
      </c>
      <c r="AE66" s="18">
        <v>0</v>
      </c>
      <c r="AF66" s="18">
        <v>0</v>
      </c>
      <c r="AG66" s="18">
        <v>0</v>
      </c>
      <c r="AH66" s="18">
        <v>1.4749357993007618E-2</v>
      </c>
      <c r="AI66" s="18">
        <v>3.4083522957153618E-2</v>
      </c>
      <c r="AJ66" s="18">
        <v>0</v>
      </c>
      <c r="AK66" s="18">
        <v>4.9472264310696484E-2</v>
      </c>
      <c r="AL66" s="18">
        <v>9.8305145260857721E-2</v>
      </c>
      <c r="AM66" s="18">
        <v>0.29246111222042553</v>
      </c>
      <c r="AN66" s="18">
        <v>3.5135823888325146E-2</v>
      </c>
      <c r="AO66" s="18">
        <v>0</v>
      </c>
      <c r="AP66" s="18">
        <v>0</v>
      </c>
      <c r="AQ66" s="18">
        <v>0.32759693610875068</v>
      </c>
      <c r="AR66" s="18">
        <v>1.4749357993007618E-2</v>
      </c>
      <c r="AS66" s="599">
        <v>22.210928520689372</v>
      </c>
      <c r="AT66" s="18">
        <v>0.29246111222042553</v>
      </c>
      <c r="AU66" s="18">
        <v>4.1590350280997987E-2</v>
      </c>
      <c r="AV66" s="18">
        <v>0</v>
      </c>
      <c r="AW66" s="18">
        <v>0</v>
      </c>
      <c r="AX66" s="18">
        <v>0.33405146250142354</v>
      </c>
      <c r="AY66" s="18">
        <v>3.4083522957153618E-2</v>
      </c>
      <c r="AZ66" s="599">
        <v>9.8009663766670911</v>
      </c>
      <c r="BA66" s="18">
        <v>0.29246111222042553</v>
      </c>
      <c r="BB66" s="18">
        <v>7.6726174169323133E-2</v>
      </c>
      <c r="BC66" s="18">
        <v>0</v>
      </c>
      <c r="BD66" s="18">
        <v>0</v>
      </c>
      <c r="BE66" s="18">
        <v>0.36918728638974868</v>
      </c>
      <c r="BF66" s="18">
        <v>4.8832880950161237E-2</v>
      </c>
      <c r="BG66" s="18">
        <v>-3.636086816455014</v>
      </c>
      <c r="BH66" s="599">
        <v>7.5602192458507753</v>
      </c>
      <c r="BI66" s="18">
        <v>1.9226824788371759</v>
      </c>
      <c r="BJ66" s="18">
        <v>4.4430267702384905</v>
      </c>
      <c r="BK66" s="18">
        <v>0</v>
      </c>
      <c r="BL66" s="18">
        <v>6.4490573639660873</v>
      </c>
      <c r="BM66" s="18">
        <v>12.814766613041755</v>
      </c>
      <c r="BN66" s="18">
        <v>0.29246111222042553</v>
      </c>
      <c r="BO66" s="18">
        <v>0</v>
      </c>
      <c r="BP66" s="18">
        <v>7.6726174169323133E-2</v>
      </c>
      <c r="BQ66" s="18">
        <v>0</v>
      </c>
      <c r="BR66" s="18">
        <v>0</v>
      </c>
      <c r="BS66" s="18">
        <v>0</v>
      </c>
      <c r="BT66" s="18">
        <v>0</v>
      </c>
      <c r="BU66" s="18">
        <v>0</v>
      </c>
      <c r="BV66" s="18">
        <v>0</v>
      </c>
      <c r="BW66" s="18">
        <v>0</v>
      </c>
      <c r="BX66" s="18">
        <v>9.8305145260857721E-2</v>
      </c>
      <c r="BY66" s="18"/>
      <c r="BZ66" s="18">
        <v>0</v>
      </c>
      <c r="CA66" s="18">
        <v>0</v>
      </c>
      <c r="CB66" s="18">
        <v>0.36918728638974868</v>
      </c>
      <c r="CC66" s="18">
        <v>9.8305145260857721E-2</v>
      </c>
      <c r="CD66" s="599">
        <v>3.7555235324671092</v>
      </c>
      <c r="CE66" s="18">
        <v>2.8129705475110702</v>
      </c>
      <c r="CF66" s="18">
        <v>5.3624543232264994E-3</v>
      </c>
      <c r="CG66" s="18">
        <v>0</v>
      </c>
      <c r="CH66" s="18">
        <v>5.3624543232264994E-3</v>
      </c>
      <c r="CI66" s="18">
        <v>2.6812003797557689E-4</v>
      </c>
      <c r="CJ66" s="18">
        <v>0</v>
      </c>
      <c r="CK66" s="18">
        <v>2.6812003797557689E-4</v>
      </c>
      <c r="CL66" s="18"/>
      <c r="CM66" s="18">
        <v>0</v>
      </c>
      <c r="CN66" s="18"/>
      <c r="CO66" s="18">
        <v>0</v>
      </c>
      <c r="CP66" s="18">
        <v>0</v>
      </c>
      <c r="CQ66" s="18">
        <v>0</v>
      </c>
      <c r="CR66" s="18">
        <v>0</v>
      </c>
      <c r="CS66" s="18">
        <v>0</v>
      </c>
      <c r="CT66" s="18">
        <v>0</v>
      </c>
      <c r="CU66" s="18">
        <v>0</v>
      </c>
      <c r="CV66" s="18">
        <v>9999</v>
      </c>
      <c r="CW66" s="599">
        <v>9999</v>
      </c>
    </row>
    <row r="67" spans="1:101">
      <c r="A67" t="s">
        <v>552</v>
      </c>
      <c r="B67" t="s">
        <v>137</v>
      </c>
      <c r="C67" s="18">
        <v>15</v>
      </c>
      <c r="D67" s="18">
        <v>4.8885865216023019</v>
      </c>
      <c r="E67" s="18">
        <v>0</v>
      </c>
      <c r="F67" s="18">
        <v>0.59537840461596525</v>
      </c>
      <c r="G67" s="18">
        <v>0</v>
      </c>
      <c r="H67" s="18">
        <v>0</v>
      </c>
      <c r="I67" s="18" t="s">
        <v>788</v>
      </c>
      <c r="J67" s="18"/>
      <c r="K67" s="18"/>
      <c r="L67" s="18">
        <v>5.2516901160200797</v>
      </c>
      <c r="M67" s="18">
        <v>1.7982490631536358E-3</v>
      </c>
      <c r="N67" s="18">
        <v>1.785270107829037E-3</v>
      </c>
      <c r="O67" s="18">
        <v>0</v>
      </c>
      <c r="P67" s="18">
        <v>0</v>
      </c>
      <c r="Q67" s="18">
        <v>0</v>
      </c>
      <c r="R67" s="18">
        <v>0.11872640724413483</v>
      </c>
      <c r="S67" s="18">
        <v>0.27435866895659194</v>
      </c>
      <c r="T67" s="18">
        <v>0</v>
      </c>
      <c r="U67" s="18">
        <v>0.39823185542216949</v>
      </c>
      <c r="V67" s="18" t="s">
        <v>773</v>
      </c>
      <c r="W67" s="18" t="s">
        <v>773</v>
      </c>
      <c r="X67" s="18" t="s">
        <v>773</v>
      </c>
      <c r="Y67" s="18" t="s">
        <v>773</v>
      </c>
      <c r="Z67" s="18">
        <v>0</v>
      </c>
      <c r="AA67" s="18">
        <v>0</v>
      </c>
      <c r="AB67" s="18">
        <v>0</v>
      </c>
      <c r="AC67" s="18">
        <v>0</v>
      </c>
      <c r="AD67" s="18">
        <v>0</v>
      </c>
      <c r="AE67" s="18">
        <v>0</v>
      </c>
      <c r="AF67" s="18">
        <v>0</v>
      </c>
      <c r="AG67" s="18">
        <v>0</v>
      </c>
      <c r="AH67" s="18">
        <v>0.11872640724413483</v>
      </c>
      <c r="AI67" s="18">
        <v>0.27435866895659194</v>
      </c>
      <c r="AJ67" s="18">
        <v>0</v>
      </c>
      <c r="AK67" s="18">
        <v>0.39823185542216949</v>
      </c>
      <c r="AL67" s="18">
        <v>0.79131693162289629</v>
      </c>
      <c r="AM67" s="18">
        <v>2.7046341519480439</v>
      </c>
      <c r="AN67" s="18">
        <v>0.63540858206254824</v>
      </c>
      <c r="AO67" s="18">
        <v>0</v>
      </c>
      <c r="AP67" s="18">
        <v>0</v>
      </c>
      <c r="AQ67" s="18">
        <v>3.3400427340105923</v>
      </c>
      <c r="AR67" s="18">
        <v>0.11872640724413483</v>
      </c>
      <c r="AS67" s="599">
        <v>28.132264856145497</v>
      </c>
      <c r="AT67" s="18">
        <v>2.7046341519480439</v>
      </c>
      <c r="AU67" s="18">
        <v>0.75213450475867993</v>
      </c>
      <c r="AV67" s="18">
        <v>0</v>
      </c>
      <c r="AW67" s="18">
        <v>0</v>
      </c>
      <c r="AX67" s="18">
        <v>3.456768656706724</v>
      </c>
      <c r="AY67" s="18">
        <v>0.27435866895659194</v>
      </c>
      <c r="AZ67" s="599">
        <v>12.599451185023943</v>
      </c>
      <c r="BA67" s="18">
        <v>2.7046341519480439</v>
      </c>
      <c r="BB67" s="18">
        <v>1.3875430868212282</v>
      </c>
      <c r="BC67" s="18">
        <v>0</v>
      </c>
      <c r="BD67" s="18">
        <v>0</v>
      </c>
      <c r="BE67" s="18">
        <v>4.0921772387692723</v>
      </c>
      <c r="BF67" s="18">
        <v>0.39308507620072675</v>
      </c>
      <c r="BG67" s="18">
        <v>-13.933411803291348</v>
      </c>
      <c r="BH67" s="599">
        <v>10.410411095535014</v>
      </c>
      <c r="BI67" s="18">
        <v>1.6634829287820909</v>
      </c>
      <c r="BJ67" s="18">
        <v>3.8440560340902064</v>
      </c>
      <c r="BK67" s="18">
        <v>0</v>
      </c>
      <c r="BL67" s="18">
        <v>5.5796508002622325</v>
      </c>
      <c r="BM67" s="18">
        <v>11.08718976313453</v>
      </c>
      <c r="BN67" s="18">
        <v>2.7046341519480439</v>
      </c>
      <c r="BO67" s="18">
        <v>0</v>
      </c>
      <c r="BP67" s="18">
        <v>1.3875430868212282</v>
      </c>
      <c r="BQ67" s="18">
        <v>0</v>
      </c>
      <c r="BR67" s="18">
        <v>0</v>
      </c>
      <c r="BS67" s="18">
        <v>0</v>
      </c>
      <c r="BT67" s="18">
        <v>0</v>
      </c>
      <c r="BU67" s="18">
        <v>0</v>
      </c>
      <c r="BV67" s="18">
        <v>0</v>
      </c>
      <c r="BW67" s="18">
        <v>0</v>
      </c>
      <c r="BX67" s="18">
        <v>0.79131693162289629</v>
      </c>
      <c r="BY67" s="18"/>
      <c r="BZ67" s="18">
        <v>0</v>
      </c>
      <c r="CA67" s="18">
        <v>0</v>
      </c>
      <c r="CB67" s="18">
        <v>4.0921772387692723</v>
      </c>
      <c r="CC67" s="18">
        <v>0.79131693162289629</v>
      </c>
      <c r="CD67" s="599">
        <v>5.1713505363479415</v>
      </c>
      <c r="CE67" s="18">
        <v>-8.3537610030291134</v>
      </c>
      <c r="CF67" s="18">
        <v>4.9891616218967767E-2</v>
      </c>
      <c r="CG67" s="18">
        <v>0</v>
      </c>
      <c r="CH67" s="18">
        <v>4.9891616218967767E-2</v>
      </c>
      <c r="CI67" s="18">
        <v>2.4945528051095373E-3</v>
      </c>
      <c r="CJ67" s="18">
        <v>0</v>
      </c>
      <c r="CK67" s="18">
        <v>2.4945528051095373E-3</v>
      </c>
      <c r="CL67" s="18"/>
      <c r="CM67" s="18">
        <v>0</v>
      </c>
      <c r="CN67" s="18"/>
      <c r="CO67" s="18">
        <v>0</v>
      </c>
      <c r="CP67" s="18">
        <v>0</v>
      </c>
      <c r="CQ67" s="18">
        <v>0</v>
      </c>
      <c r="CR67" s="18">
        <v>0</v>
      </c>
      <c r="CS67" s="18">
        <v>0</v>
      </c>
      <c r="CT67" s="18">
        <v>0</v>
      </c>
      <c r="CU67" s="18">
        <v>0</v>
      </c>
      <c r="CV67" s="18">
        <v>9999</v>
      </c>
      <c r="CW67" s="599">
        <v>9999</v>
      </c>
    </row>
    <row r="68" spans="1:101">
      <c r="A68" t="s">
        <v>553</v>
      </c>
      <c r="B68" t="s">
        <v>64</v>
      </c>
      <c r="C68" s="18">
        <v>15</v>
      </c>
      <c r="D68" s="18">
        <v>5.173293534972041</v>
      </c>
      <c r="E68" s="18">
        <v>0</v>
      </c>
      <c r="F68" s="18">
        <v>0.63250552514432767</v>
      </c>
      <c r="G68" s="18">
        <v>0</v>
      </c>
      <c r="H68" s="18">
        <v>0</v>
      </c>
      <c r="I68" s="18" t="s">
        <v>788</v>
      </c>
      <c r="J68" s="18"/>
      <c r="K68" s="18"/>
      <c r="L68" s="18">
        <v>5.5575439658943351</v>
      </c>
      <c r="M68" s="18">
        <v>1.9029775194882078E-3</v>
      </c>
      <c r="N68" s="18">
        <v>1.8892426811305896E-3</v>
      </c>
      <c r="O68" s="18">
        <v>0</v>
      </c>
      <c r="P68" s="18">
        <v>0</v>
      </c>
      <c r="Q68" s="18">
        <v>0</v>
      </c>
      <c r="R68" s="18">
        <v>0.12613005104021052</v>
      </c>
      <c r="S68" s="18">
        <v>0.2914673636814582</v>
      </c>
      <c r="T68" s="18">
        <v>0</v>
      </c>
      <c r="U68" s="18">
        <v>0.42306514124487105</v>
      </c>
      <c r="V68" s="18" t="s">
        <v>773</v>
      </c>
      <c r="W68" s="18" t="s">
        <v>773</v>
      </c>
      <c r="X68" s="18" t="s">
        <v>773</v>
      </c>
      <c r="Y68" s="18" t="s">
        <v>773</v>
      </c>
      <c r="Z68" s="18">
        <v>0</v>
      </c>
      <c r="AA68" s="18">
        <v>0</v>
      </c>
      <c r="AB68" s="18">
        <v>0</v>
      </c>
      <c r="AC68" s="18">
        <v>0</v>
      </c>
      <c r="AD68" s="18">
        <v>0</v>
      </c>
      <c r="AE68" s="18">
        <v>0</v>
      </c>
      <c r="AF68" s="18">
        <v>0</v>
      </c>
      <c r="AG68" s="18">
        <v>0</v>
      </c>
      <c r="AH68" s="18">
        <v>0.12613005104021052</v>
      </c>
      <c r="AI68" s="18">
        <v>0.2914673636814582</v>
      </c>
      <c r="AJ68" s="18">
        <v>0</v>
      </c>
      <c r="AK68" s="18">
        <v>0.42306514124487105</v>
      </c>
      <c r="AL68" s="18">
        <v>0.84066255596653972</v>
      </c>
      <c r="AM68" s="18">
        <v>2.862149684966889</v>
      </c>
      <c r="AN68" s="18">
        <v>0.67241422344152801</v>
      </c>
      <c r="AO68" s="18">
        <v>0</v>
      </c>
      <c r="AP68" s="18">
        <v>0</v>
      </c>
      <c r="AQ68" s="18">
        <v>3.5345639084084173</v>
      </c>
      <c r="AR68" s="18">
        <v>0.12613005104021052</v>
      </c>
      <c r="AS68" s="599">
        <v>28.02317036470231</v>
      </c>
      <c r="AT68" s="18">
        <v>2.862149684966889</v>
      </c>
      <c r="AU68" s="18">
        <v>0.79593816202359946</v>
      </c>
      <c r="AV68" s="18">
        <v>0</v>
      </c>
      <c r="AW68" s="18">
        <v>0</v>
      </c>
      <c r="AX68" s="18">
        <v>3.6580878469904885</v>
      </c>
      <c r="AY68" s="18">
        <v>0.2914673636814582</v>
      </c>
      <c r="AZ68" s="599">
        <v>12.550591602387348</v>
      </c>
      <c r="BA68" s="18">
        <v>2.862149684966889</v>
      </c>
      <c r="BB68" s="18">
        <v>1.4683523854651275</v>
      </c>
      <c r="BC68" s="18">
        <v>0</v>
      </c>
      <c r="BD68" s="18">
        <v>0</v>
      </c>
      <c r="BE68" s="18">
        <v>4.3305020704320167</v>
      </c>
      <c r="BF68" s="18">
        <v>0.41759741472166872</v>
      </c>
      <c r="BG68" s="18">
        <v>-13.911970897268274</v>
      </c>
      <c r="BH68" s="599">
        <v>10.370040421151369</v>
      </c>
      <c r="BI68" s="18">
        <v>1.6699588849918312</v>
      </c>
      <c r="BJ68" s="18">
        <v>3.8590209839035365</v>
      </c>
      <c r="BK68" s="18">
        <v>0</v>
      </c>
      <c r="BL68" s="18">
        <v>5.6013724384124943</v>
      </c>
      <c r="BM68" s="18">
        <v>11.130352307307861</v>
      </c>
      <c r="BN68" s="18">
        <v>2.862149684966889</v>
      </c>
      <c r="BO68" s="18">
        <v>0</v>
      </c>
      <c r="BP68" s="18">
        <v>1.4683523854651275</v>
      </c>
      <c r="BQ68" s="18">
        <v>0</v>
      </c>
      <c r="BR68" s="18">
        <v>0</v>
      </c>
      <c r="BS68" s="18">
        <v>0</v>
      </c>
      <c r="BT68" s="18">
        <v>0</v>
      </c>
      <c r="BU68" s="18">
        <v>0</v>
      </c>
      <c r="BV68" s="18">
        <v>0</v>
      </c>
      <c r="BW68" s="18">
        <v>0</v>
      </c>
      <c r="BX68" s="18">
        <v>0.84066255596653972</v>
      </c>
      <c r="BY68" s="18"/>
      <c r="BZ68" s="18">
        <v>0</v>
      </c>
      <c r="CA68" s="18">
        <v>0</v>
      </c>
      <c r="CB68" s="18">
        <v>4.3305020704320167</v>
      </c>
      <c r="CC68" s="18">
        <v>0.84066255596653972</v>
      </c>
      <c r="CD68" s="599">
        <v>5.1512964859640791</v>
      </c>
      <c r="CE68" s="18">
        <v>-8.3105984588557842</v>
      </c>
      <c r="CF68" s="18">
        <v>5.2797260413485501E-2</v>
      </c>
      <c r="CG68" s="18">
        <v>0</v>
      </c>
      <c r="CH68" s="18">
        <v>5.2797260413485501E-2</v>
      </c>
      <c r="CI68" s="18">
        <v>2.6398333837998082E-3</v>
      </c>
      <c r="CJ68" s="18">
        <v>0</v>
      </c>
      <c r="CK68" s="18">
        <v>2.6398333837998082E-3</v>
      </c>
      <c r="CL68" s="18"/>
      <c r="CM68" s="18">
        <v>0</v>
      </c>
      <c r="CN68" s="18"/>
      <c r="CO68" s="18">
        <v>0</v>
      </c>
      <c r="CP68" s="18">
        <v>0</v>
      </c>
      <c r="CQ68" s="18">
        <v>0</v>
      </c>
      <c r="CR68" s="18">
        <v>0</v>
      </c>
      <c r="CS68" s="18">
        <v>0</v>
      </c>
      <c r="CT68" s="18">
        <v>0</v>
      </c>
      <c r="CU68" s="18">
        <v>0</v>
      </c>
      <c r="CV68" s="18">
        <v>9999</v>
      </c>
      <c r="CW68" s="599">
        <v>9999</v>
      </c>
    </row>
    <row r="69" spans="1:101">
      <c r="A69" t="s">
        <v>554</v>
      </c>
      <c r="B69" t="s">
        <v>56</v>
      </c>
      <c r="C69" s="18">
        <v>15</v>
      </c>
      <c r="D69" s="18">
        <v>4</v>
      </c>
      <c r="E69" s="18">
        <v>0</v>
      </c>
      <c r="F69" s="18">
        <v>0.45149651239206373</v>
      </c>
      <c r="G69" s="18">
        <v>0</v>
      </c>
      <c r="H69" s="18">
        <v>0</v>
      </c>
      <c r="I69" s="18" t="s">
        <v>788</v>
      </c>
      <c r="J69" s="18"/>
      <c r="K69" s="18"/>
      <c r="L69" s="18">
        <v>4.297103134260384</v>
      </c>
      <c r="M69" s="18">
        <v>1.4713856900822407E-3</v>
      </c>
      <c r="N69" s="18">
        <v>1.4607658880046906E-3</v>
      </c>
      <c r="O69" s="18">
        <v>0</v>
      </c>
      <c r="P69" s="18">
        <v>0</v>
      </c>
      <c r="Q69" s="18">
        <v>0</v>
      </c>
      <c r="R69" s="18">
        <v>9.003443588811906E-2</v>
      </c>
      <c r="S69" s="18">
        <v>0.20805588717704784</v>
      </c>
      <c r="T69" s="18">
        <v>0</v>
      </c>
      <c r="U69" s="18">
        <v>0.30199330787368073</v>
      </c>
      <c r="V69" s="18" t="s">
        <v>773</v>
      </c>
      <c r="W69" s="18" t="s">
        <v>773</v>
      </c>
      <c r="X69" s="18" t="s">
        <v>773</v>
      </c>
      <c r="Y69" s="18" t="s">
        <v>773</v>
      </c>
      <c r="Z69" s="18">
        <v>0</v>
      </c>
      <c r="AA69" s="18">
        <v>0</v>
      </c>
      <c r="AB69" s="18">
        <v>0</v>
      </c>
      <c r="AC69" s="18">
        <v>0</v>
      </c>
      <c r="AD69" s="18">
        <v>0</v>
      </c>
      <c r="AE69" s="18">
        <v>0</v>
      </c>
      <c r="AF69" s="18">
        <v>0</v>
      </c>
      <c r="AG69" s="18">
        <v>0</v>
      </c>
      <c r="AH69" s="18">
        <v>9.003443588811906E-2</v>
      </c>
      <c r="AI69" s="18">
        <v>0.20805588717704784</v>
      </c>
      <c r="AJ69" s="18">
        <v>0</v>
      </c>
      <c r="AK69" s="18">
        <v>0.30199330787368073</v>
      </c>
      <c r="AL69" s="18">
        <v>0.60008363093884765</v>
      </c>
      <c r="AM69" s="18">
        <v>2.2130193584558375</v>
      </c>
      <c r="AN69" s="18">
        <v>0.51991190439586132</v>
      </c>
      <c r="AO69" s="18">
        <v>0</v>
      </c>
      <c r="AP69" s="18">
        <v>0</v>
      </c>
      <c r="AQ69" s="18">
        <v>2.7329312628516989</v>
      </c>
      <c r="AR69" s="18">
        <v>9.003443588811906E-2</v>
      </c>
      <c r="AS69" s="599">
        <v>30.354288732899544</v>
      </c>
      <c r="AT69" s="18">
        <v>2.2130193584558375</v>
      </c>
      <c r="AU69" s="18">
        <v>0.61542083907898792</v>
      </c>
      <c r="AV69" s="18">
        <v>0</v>
      </c>
      <c r="AW69" s="18">
        <v>0</v>
      </c>
      <c r="AX69" s="18">
        <v>2.8284401975348255</v>
      </c>
      <c r="AY69" s="18">
        <v>0.20805588717704784</v>
      </c>
      <c r="AZ69" s="599">
        <v>13.594617465104113</v>
      </c>
      <c r="BA69" s="18">
        <v>2.2130193584558375</v>
      </c>
      <c r="BB69" s="18">
        <v>1.1353327434748492</v>
      </c>
      <c r="BC69" s="18">
        <v>0</v>
      </c>
      <c r="BD69" s="18">
        <v>0</v>
      </c>
      <c r="BE69" s="18">
        <v>3.3483521019306868</v>
      </c>
      <c r="BF69" s="18">
        <v>0.29809032306516692</v>
      </c>
      <c r="BG69" s="18">
        <v>-14.336579974528753</v>
      </c>
      <c r="BH69" s="599">
        <v>11.232676282479281</v>
      </c>
      <c r="BI69" s="18">
        <v>1.5417110493995141</v>
      </c>
      <c r="BJ69" s="18">
        <v>3.5626597422353714</v>
      </c>
      <c r="BK69" s="18">
        <v>0</v>
      </c>
      <c r="BL69" s="18">
        <v>5.17120382885635</v>
      </c>
      <c r="BM69" s="18">
        <v>10.275574620491234</v>
      </c>
      <c r="BN69" s="18">
        <v>2.2130193584558375</v>
      </c>
      <c r="BO69" s="18">
        <v>0</v>
      </c>
      <c r="BP69" s="18">
        <v>1.1353327434748492</v>
      </c>
      <c r="BQ69" s="18">
        <v>0</v>
      </c>
      <c r="BR69" s="18">
        <v>0</v>
      </c>
      <c r="BS69" s="18">
        <v>0</v>
      </c>
      <c r="BT69" s="18">
        <v>0</v>
      </c>
      <c r="BU69" s="18">
        <v>0</v>
      </c>
      <c r="BV69" s="18">
        <v>0</v>
      </c>
      <c r="BW69" s="18">
        <v>0</v>
      </c>
      <c r="BX69" s="18">
        <v>0.60008363093884765</v>
      </c>
      <c r="BY69" s="18"/>
      <c r="BZ69" s="18">
        <v>0</v>
      </c>
      <c r="CA69" s="18">
        <v>0</v>
      </c>
      <c r="CB69" s="18">
        <v>3.3483521019306868</v>
      </c>
      <c r="CC69" s="18">
        <v>0.60008363093884765</v>
      </c>
      <c r="CD69" s="599">
        <v>5.5798090954290753</v>
      </c>
      <c r="CE69" s="18">
        <v>-9.1653761456724023</v>
      </c>
      <c r="CF69" s="18">
        <v>4.0822938081181877E-2</v>
      </c>
      <c r="CG69" s="18">
        <v>0</v>
      </c>
      <c r="CH69" s="18">
        <v>4.0822938081181877E-2</v>
      </c>
      <c r="CI69" s="18">
        <v>2.0411239887736816E-3</v>
      </c>
      <c r="CJ69" s="18">
        <v>0</v>
      </c>
      <c r="CK69" s="18">
        <v>2.0411239887736816E-3</v>
      </c>
      <c r="CL69" s="18"/>
      <c r="CM69" s="18">
        <v>0</v>
      </c>
      <c r="CN69" s="18"/>
      <c r="CO69" s="18">
        <v>0</v>
      </c>
      <c r="CP69" s="18">
        <v>0</v>
      </c>
      <c r="CQ69" s="18">
        <v>0</v>
      </c>
      <c r="CR69" s="18">
        <v>0</v>
      </c>
      <c r="CS69" s="18">
        <v>0</v>
      </c>
      <c r="CT69" s="18">
        <v>0</v>
      </c>
      <c r="CU69" s="18">
        <v>0</v>
      </c>
      <c r="CV69" s="18">
        <v>9999</v>
      </c>
      <c r="CW69" s="599">
        <v>9999</v>
      </c>
    </row>
    <row r="70" spans="1:101">
      <c r="A70" t="s">
        <v>555</v>
      </c>
      <c r="B70" t="s">
        <v>139</v>
      </c>
      <c r="C70" s="18">
        <v>15</v>
      </c>
      <c r="D70" s="18">
        <v>2.8336615973578971</v>
      </c>
      <c r="E70" s="18">
        <v>0</v>
      </c>
      <c r="F70" s="18">
        <v>0.3776042842716732</v>
      </c>
      <c r="G70" s="18">
        <v>0</v>
      </c>
      <c r="H70" s="18">
        <v>0</v>
      </c>
      <c r="I70" s="18" t="s">
        <v>577</v>
      </c>
      <c r="J70" s="18"/>
      <c r="K70" s="18"/>
      <c r="L70" s="18">
        <v>3.0449198475183858</v>
      </c>
      <c r="M70" s="18">
        <v>5.3639795134547634E-4</v>
      </c>
      <c r="N70" s="18">
        <v>5.3252647147688115E-4</v>
      </c>
      <c r="O70" s="18">
        <v>0</v>
      </c>
      <c r="P70" s="18">
        <v>0</v>
      </c>
      <c r="Q70" s="18">
        <v>0</v>
      </c>
      <c r="R70" s="18">
        <v>7.5299338511423314E-2</v>
      </c>
      <c r="S70" s="18">
        <v>0.17400531833516353</v>
      </c>
      <c r="T70" s="18">
        <v>0</v>
      </c>
      <c r="U70" s="18">
        <v>0.2525688764910175</v>
      </c>
      <c r="V70" s="18" t="s">
        <v>773</v>
      </c>
      <c r="W70" s="18" t="s">
        <v>773</v>
      </c>
      <c r="X70" s="18" t="s">
        <v>773</v>
      </c>
      <c r="Y70" s="18" t="s">
        <v>773</v>
      </c>
      <c r="Z70" s="18">
        <v>0</v>
      </c>
      <c r="AA70" s="18">
        <v>0</v>
      </c>
      <c r="AB70" s="18">
        <v>0</v>
      </c>
      <c r="AC70" s="18">
        <v>0</v>
      </c>
      <c r="AD70" s="18">
        <v>0</v>
      </c>
      <c r="AE70" s="18">
        <v>0</v>
      </c>
      <c r="AF70" s="18">
        <v>0</v>
      </c>
      <c r="AG70" s="18">
        <v>0</v>
      </c>
      <c r="AH70" s="18">
        <v>7.5299338511423314E-2</v>
      </c>
      <c r="AI70" s="18">
        <v>0.17400531833516353</v>
      </c>
      <c r="AJ70" s="18">
        <v>0</v>
      </c>
      <c r="AK70" s="18">
        <v>0.2525688764910175</v>
      </c>
      <c r="AL70" s="18">
        <v>0.50187353333760432</v>
      </c>
      <c r="AM70" s="18">
        <v>1.577641528312353</v>
      </c>
      <c r="AN70" s="18">
        <v>0.18953540344848516</v>
      </c>
      <c r="AO70" s="18">
        <v>0</v>
      </c>
      <c r="AP70" s="18">
        <v>0</v>
      </c>
      <c r="AQ70" s="18">
        <v>1.7671769317608381</v>
      </c>
      <c r="AR70" s="18">
        <v>7.5299338511423314E-2</v>
      </c>
      <c r="AS70" s="599">
        <v>23.468691315166705</v>
      </c>
      <c r="AT70" s="18">
        <v>1.577641528312353</v>
      </c>
      <c r="AU70" s="18">
        <v>0.22435346457585315</v>
      </c>
      <c r="AV70" s="18">
        <v>0</v>
      </c>
      <c r="AW70" s="18">
        <v>0</v>
      </c>
      <c r="AX70" s="18">
        <v>1.8019949928882062</v>
      </c>
      <c r="AY70" s="18">
        <v>0.17400531833516353</v>
      </c>
      <c r="AZ70" s="599">
        <v>10.355976530655578</v>
      </c>
      <c r="BA70" s="18">
        <v>1.577641528312353</v>
      </c>
      <c r="BB70" s="18">
        <v>0.41388886802433833</v>
      </c>
      <c r="BC70" s="18">
        <v>0</v>
      </c>
      <c r="BD70" s="18">
        <v>0</v>
      </c>
      <c r="BE70" s="18">
        <v>1.9915303963366913</v>
      </c>
      <c r="BF70" s="18">
        <v>0.24930465684658684</v>
      </c>
      <c r="BG70" s="18">
        <v>-3.9772456883505858</v>
      </c>
      <c r="BH70" s="599">
        <v>7.9883401358291026</v>
      </c>
      <c r="BI70" s="18">
        <v>1.8196397290306674</v>
      </c>
      <c r="BJ70" s="18">
        <v>4.2049106481494256</v>
      </c>
      <c r="BK70" s="18">
        <v>0</v>
      </c>
      <c r="BL70" s="18">
        <v>6.1034315980076475</v>
      </c>
      <c r="BM70" s="18">
        <v>12.127981975187739</v>
      </c>
      <c r="BN70" s="18">
        <v>1.577641528312353</v>
      </c>
      <c r="BO70" s="18">
        <v>0</v>
      </c>
      <c r="BP70" s="18">
        <v>0.41388886802433833</v>
      </c>
      <c r="BQ70" s="18">
        <v>0</v>
      </c>
      <c r="BR70" s="18">
        <v>0</v>
      </c>
      <c r="BS70" s="18">
        <v>0</v>
      </c>
      <c r="BT70" s="18">
        <v>0</v>
      </c>
      <c r="BU70" s="18">
        <v>0</v>
      </c>
      <c r="BV70" s="18">
        <v>0</v>
      </c>
      <c r="BW70" s="18">
        <v>0</v>
      </c>
      <c r="BX70" s="18">
        <v>0.50187353333760432</v>
      </c>
      <c r="BY70" s="18"/>
      <c r="BZ70" s="18">
        <v>0</v>
      </c>
      <c r="CA70" s="18">
        <v>0</v>
      </c>
      <c r="CB70" s="18">
        <v>1.9915303963366913</v>
      </c>
      <c r="CC70" s="18">
        <v>0.50187353333760432</v>
      </c>
      <c r="CD70" s="599">
        <v>3.9681917137419811</v>
      </c>
      <c r="CE70" s="18">
        <v>2.1261859096570599</v>
      </c>
      <c r="CF70" s="18">
        <v>2.8927027493569818E-2</v>
      </c>
      <c r="CG70" s="18">
        <v>0</v>
      </c>
      <c r="CH70" s="18">
        <v>2.8927027493569818E-2</v>
      </c>
      <c r="CI70" s="18">
        <v>1.446336927571233E-3</v>
      </c>
      <c r="CJ70" s="18">
        <v>0</v>
      </c>
      <c r="CK70" s="18">
        <v>1.446336927571233E-3</v>
      </c>
      <c r="CL70" s="18"/>
      <c r="CM70" s="18">
        <v>0</v>
      </c>
      <c r="CN70" s="18"/>
      <c r="CO70" s="18">
        <v>0</v>
      </c>
      <c r="CP70" s="18">
        <v>0</v>
      </c>
      <c r="CQ70" s="18">
        <v>0</v>
      </c>
      <c r="CR70" s="18">
        <v>0</v>
      </c>
      <c r="CS70" s="18">
        <v>0</v>
      </c>
      <c r="CT70" s="18">
        <v>0</v>
      </c>
      <c r="CU70" s="18">
        <v>0</v>
      </c>
      <c r="CV70" s="18">
        <v>9999</v>
      </c>
      <c r="CW70" s="599">
        <v>9999</v>
      </c>
    </row>
    <row r="71" spans="1:101">
      <c r="A71" t="s">
        <v>556</v>
      </c>
      <c r="B71" t="s">
        <v>137</v>
      </c>
      <c r="C71" s="18">
        <v>15</v>
      </c>
      <c r="D71" s="18">
        <v>6.9735697018533438</v>
      </c>
      <c r="E71" s="18">
        <v>0</v>
      </c>
      <c r="F71" s="18">
        <v>0.92996697553610974</v>
      </c>
      <c r="G71" s="18">
        <v>0</v>
      </c>
      <c r="H71" s="18">
        <v>0</v>
      </c>
      <c r="I71" s="18" t="s">
        <v>788</v>
      </c>
      <c r="J71" s="18"/>
      <c r="K71" s="18"/>
      <c r="L71" s="18">
        <v>7.4915370557043142</v>
      </c>
      <c r="M71" s="18">
        <v>2.5652026670245219E-3</v>
      </c>
      <c r="N71" s="18">
        <v>2.5466881845226013E-3</v>
      </c>
      <c r="O71" s="18">
        <v>0</v>
      </c>
      <c r="P71" s="18">
        <v>0</v>
      </c>
      <c r="Q71" s="18">
        <v>0</v>
      </c>
      <c r="R71" s="18">
        <v>0.18544783788776309</v>
      </c>
      <c r="S71" s="18">
        <v>0.42854174690170277</v>
      </c>
      <c r="T71" s="18">
        <v>0</v>
      </c>
      <c r="U71" s="18">
        <v>0.62202873211024334</v>
      </c>
      <c r="V71" s="18" t="s">
        <v>773</v>
      </c>
      <c r="W71" s="18" t="s">
        <v>773</v>
      </c>
      <c r="X71" s="18" t="s">
        <v>773</v>
      </c>
      <c r="Y71" s="18" t="s">
        <v>773</v>
      </c>
      <c r="Z71" s="18">
        <v>0</v>
      </c>
      <c r="AA71" s="18">
        <v>0</v>
      </c>
      <c r="AB71" s="18">
        <v>0</v>
      </c>
      <c r="AC71" s="18">
        <v>0</v>
      </c>
      <c r="AD71" s="18">
        <v>0</v>
      </c>
      <c r="AE71" s="18">
        <v>0</v>
      </c>
      <c r="AF71" s="18">
        <v>0</v>
      </c>
      <c r="AG71" s="18">
        <v>0</v>
      </c>
      <c r="AH71" s="18">
        <v>0.18544783788776309</v>
      </c>
      <c r="AI71" s="18">
        <v>0.42854174690170277</v>
      </c>
      <c r="AJ71" s="18">
        <v>0</v>
      </c>
      <c r="AK71" s="18">
        <v>0.62202873211024334</v>
      </c>
      <c r="AL71" s="18">
        <v>1.2360183168997092</v>
      </c>
      <c r="AM71" s="18">
        <v>3.8581611869356314</v>
      </c>
      <c r="AN71" s="18">
        <v>0.90641047603196301</v>
      </c>
      <c r="AO71" s="18">
        <v>0</v>
      </c>
      <c r="AP71" s="18">
        <v>0</v>
      </c>
      <c r="AQ71" s="18">
        <v>4.7645716629675947</v>
      </c>
      <c r="AR71" s="18">
        <v>0.18544783788776309</v>
      </c>
      <c r="AS71" s="599">
        <v>25.692247034183342</v>
      </c>
      <c r="AT71" s="18">
        <v>3.8581611869356314</v>
      </c>
      <c r="AU71" s="18">
        <v>1.0729200293225984</v>
      </c>
      <c r="AV71" s="18">
        <v>0</v>
      </c>
      <c r="AW71" s="18">
        <v>0</v>
      </c>
      <c r="AX71" s="18">
        <v>4.9310812162582298</v>
      </c>
      <c r="AY71" s="18">
        <v>0.42854174690170277</v>
      </c>
      <c r="AZ71" s="599">
        <v>11.506653090181437</v>
      </c>
      <c r="BA71" s="18">
        <v>3.8581611869356314</v>
      </c>
      <c r="BB71" s="18">
        <v>1.9793305053545613</v>
      </c>
      <c r="BC71" s="18">
        <v>0</v>
      </c>
      <c r="BD71" s="18">
        <v>0</v>
      </c>
      <c r="BE71" s="18">
        <v>5.8374916922901932</v>
      </c>
      <c r="BF71" s="18">
        <v>0.61398958478946586</v>
      </c>
      <c r="BG71" s="18">
        <v>-13.410355442877277</v>
      </c>
      <c r="BH71" s="599">
        <v>9.5074767339772404</v>
      </c>
      <c r="BI71" s="18">
        <v>1.8214655290333521</v>
      </c>
      <c r="BJ71" s="18">
        <v>4.2091297942530161</v>
      </c>
      <c r="BK71" s="18">
        <v>0</v>
      </c>
      <c r="BL71" s="18">
        <v>6.1095556923820666</v>
      </c>
      <c r="BM71" s="18">
        <v>12.140151015668433</v>
      </c>
      <c r="BN71" s="18">
        <v>3.8581611869356314</v>
      </c>
      <c r="BO71" s="18">
        <v>0</v>
      </c>
      <c r="BP71" s="18">
        <v>1.9793305053545613</v>
      </c>
      <c r="BQ71" s="18">
        <v>0</v>
      </c>
      <c r="BR71" s="18">
        <v>0</v>
      </c>
      <c r="BS71" s="18">
        <v>0</v>
      </c>
      <c r="BT71" s="18">
        <v>0</v>
      </c>
      <c r="BU71" s="18">
        <v>0</v>
      </c>
      <c r="BV71" s="18">
        <v>0</v>
      </c>
      <c r="BW71" s="18">
        <v>0</v>
      </c>
      <c r="BX71" s="18">
        <v>1.2360183168997092</v>
      </c>
      <c r="BY71" s="18"/>
      <c r="BZ71" s="18">
        <v>0</v>
      </c>
      <c r="CA71" s="18">
        <v>0</v>
      </c>
      <c r="CB71" s="18">
        <v>5.8374916922901932</v>
      </c>
      <c r="CC71" s="18">
        <v>1.2360183168997092</v>
      </c>
      <c r="CD71" s="599">
        <v>4.7228197288631675</v>
      </c>
      <c r="CE71" s="18">
        <v>-7.3007997504952051</v>
      </c>
      <c r="CF71" s="18">
        <v>7.1170401035891229E-2</v>
      </c>
      <c r="CG71" s="18">
        <v>0</v>
      </c>
      <c r="CH71" s="18">
        <v>7.1170401035891229E-2</v>
      </c>
      <c r="CI71" s="18">
        <v>3.5584801014595471E-3</v>
      </c>
      <c r="CJ71" s="18">
        <v>0</v>
      </c>
      <c r="CK71" s="18">
        <v>3.5584801014595471E-3</v>
      </c>
      <c r="CL71" s="18"/>
      <c r="CM71" s="18">
        <v>0</v>
      </c>
      <c r="CN71" s="18"/>
      <c r="CO71" s="18">
        <v>0</v>
      </c>
      <c r="CP71" s="18">
        <v>0</v>
      </c>
      <c r="CQ71" s="18">
        <v>0</v>
      </c>
      <c r="CR71" s="18">
        <v>0</v>
      </c>
      <c r="CS71" s="18">
        <v>0</v>
      </c>
      <c r="CT71" s="18">
        <v>0</v>
      </c>
      <c r="CU71" s="18">
        <v>0</v>
      </c>
      <c r="CV71" s="18">
        <v>9999</v>
      </c>
      <c r="CW71" s="599">
        <v>9999</v>
      </c>
    </row>
    <row r="72" spans="1:101">
      <c r="A72" t="s">
        <v>557</v>
      </c>
      <c r="B72" t="s">
        <v>138</v>
      </c>
      <c r="C72" s="18">
        <v>15</v>
      </c>
      <c r="D72" s="18">
        <v>3.8581788879935535</v>
      </c>
      <c r="E72" s="18">
        <v>0</v>
      </c>
      <c r="F72" s="18">
        <v>0.51447889576687988</v>
      </c>
      <c r="G72" s="18">
        <v>0</v>
      </c>
      <c r="H72" s="18">
        <v>0</v>
      </c>
      <c r="I72" s="18" t="s">
        <v>788</v>
      </c>
      <c r="J72" s="18"/>
      <c r="K72" s="18"/>
      <c r="L72" s="18">
        <v>4.1447481480335853</v>
      </c>
      <c r="M72" s="18">
        <v>1.4192173013927816E-3</v>
      </c>
      <c r="N72" s="18">
        <v>1.4089740273502131E-3</v>
      </c>
      <c r="O72" s="18">
        <v>0</v>
      </c>
      <c r="P72" s="18">
        <v>0</v>
      </c>
      <c r="Q72" s="18">
        <v>0</v>
      </c>
      <c r="R72" s="18">
        <v>0.10259396448336253</v>
      </c>
      <c r="S72" s="18">
        <v>0.23707904746713973</v>
      </c>
      <c r="T72" s="18">
        <v>0</v>
      </c>
      <c r="U72" s="18">
        <v>0.34412045120942492</v>
      </c>
      <c r="V72" s="18" t="s">
        <v>773</v>
      </c>
      <c r="W72" s="18" t="s">
        <v>773</v>
      </c>
      <c r="X72" s="18" t="s">
        <v>773</v>
      </c>
      <c r="Y72" s="18" t="s">
        <v>773</v>
      </c>
      <c r="Z72" s="18">
        <v>0</v>
      </c>
      <c r="AA72" s="18">
        <v>0</v>
      </c>
      <c r="AB72" s="18">
        <v>0</v>
      </c>
      <c r="AC72" s="18">
        <v>0</v>
      </c>
      <c r="AD72" s="18">
        <v>0</v>
      </c>
      <c r="AE72" s="18">
        <v>0</v>
      </c>
      <c r="AF72" s="18">
        <v>0</v>
      </c>
      <c r="AG72" s="18">
        <v>0</v>
      </c>
      <c r="AH72" s="18">
        <v>0.10259396448336253</v>
      </c>
      <c r="AI72" s="18">
        <v>0.23707904746713973</v>
      </c>
      <c r="AJ72" s="18">
        <v>0</v>
      </c>
      <c r="AK72" s="18">
        <v>0.34412045120942492</v>
      </c>
      <c r="AL72" s="18">
        <v>0.68379346315992717</v>
      </c>
      <c r="AM72" s="18">
        <v>2.1345561418788366</v>
      </c>
      <c r="AN72" s="18">
        <v>0.50147828328915889</v>
      </c>
      <c r="AO72" s="18">
        <v>0</v>
      </c>
      <c r="AP72" s="18">
        <v>0</v>
      </c>
      <c r="AQ72" s="18">
        <v>2.6360344251679955</v>
      </c>
      <c r="AR72" s="18">
        <v>0.10259396448336253</v>
      </c>
      <c r="AS72" s="599">
        <v>25.693854784171794</v>
      </c>
      <c r="AT72" s="18">
        <v>2.1345561418788366</v>
      </c>
      <c r="AU72" s="18">
        <v>0.59360092214145754</v>
      </c>
      <c r="AV72" s="18">
        <v>0</v>
      </c>
      <c r="AW72" s="18">
        <v>0</v>
      </c>
      <c r="AX72" s="18">
        <v>2.7281570640202943</v>
      </c>
      <c r="AY72" s="18">
        <v>0.23707904746713973</v>
      </c>
      <c r="AZ72" s="599">
        <v>11.507373144809137</v>
      </c>
      <c r="BA72" s="18">
        <v>2.1345561418788366</v>
      </c>
      <c r="BB72" s="18">
        <v>1.0950792054306164</v>
      </c>
      <c r="BC72" s="18">
        <v>0</v>
      </c>
      <c r="BD72" s="18">
        <v>0</v>
      </c>
      <c r="BE72" s="18">
        <v>3.2296353473094532</v>
      </c>
      <c r="BF72" s="18">
        <v>0.33967301195050226</v>
      </c>
      <c r="BG72" s="18">
        <v>-13.410732797293061</v>
      </c>
      <c r="BH72" s="599">
        <v>9.5080716856600933</v>
      </c>
      <c r="BI72" s="18">
        <v>1.8213515538743963</v>
      </c>
      <c r="BJ72" s="18">
        <v>4.2088664149961925</v>
      </c>
      <c r="BK72" s="18">
        <v>0</v>
      </c>
      <c r="BL72" s="18">
        <v>6.1091733971532571</v>
      </c>
      <c r="BM72" s="18">
        <v>12.139391366023846</v>
      </c>
      <c r="BN72" s="18">
        <v>2.1345561418788366</v>
      </c>
      <c r="BO72" s="18">
        <v>0</v>
      </c>
      <c r="BP72" s="18">
        <v>1.0950792054306164</v>
      </c>
      <c r="BQ72" s="18">
        <v>0</v>
      </c>
      <c r="BR72" s="18">
        <v>0</v>
      </c>
      <c r="BS72" s="18">
        <v>0</v>
      </c>
      <c r="BT72" s="18">
        <v>0</v>
      </c>
      <c r="BU72" s="18">
        <v>0</v>
      </c>
      <c r="BV72" s="18">
        <v>0</v>
      </c>
      <c r="BW72" s="18">
        <v>0</v>
      </c>
      <c r="BX72" s="18">
        <v>0.68379346315992717</v>
      </c>
      <c r="BY72" s="18"/>
      <c r="BZ72" s="18">
        <v>0</v>
      </c>
      <c r="CA72" s="18">
        <v>0</v>
      </c>
      <c r="CB72" s="18">
        <v>3.2296353473094532</v>
      </c>
      <c r="CC72" s="18">
        <v>0.68379346315992717</v>
      </c>
      <c r="CD72" s="599">
        <v>4.7231152699014594</v>
      </c>
      <c r="CE72" s="18">
        <v>-7.3015594001398068</v>
      </c>
      <c r="CF72" s="18">
        <v>3.9375549462670932E-2</v>
      </c>
      <c r="CG72" s="18">
        <v>0</v>
      </c>
      <c r="CH72" s="18">
        <v>3.9375549462670932E-2</v>
      </c>
      <c r="CI72" s="18">
        <v>1.9687553703159524E-3</v>
      </c>
      <c r="CJ72" s="18">
        <v>0</v>
      </c>
      <c r="CK72" s="18">
        <v>1.9687553703159524E-3</v>
      </c>
      <c r="CL72" s="18"/>
      <c r="CM72" s="18">
        <v>0</v>
      </c>
      <c r="CN72" s="18"/>
      <c r="CO72" s="18">
        <v>0</v>
      </c>
      <c r="CP72" s="18">
        <v>0</v>
      </c>
      <c r="CQ72" s="18">
        <v>0</v>
      </c>
      <c r="CR72" s="18">
        <v>0</v>
      </c>
      <c r="CS72" s="18">
        <v>0</v>
      </c>
      <c r="CT72" s="18">
        <v>0</v>
      </c>
      <c r="CU72" s="18">
        <v>0</v>
      </c>
      <c r="CV72" s="18">
        <v>9999</v>
      </c>
      <c r="CW72" s="599">
        <v>9999</v>
      </c>
    </row>
    <row r="73" spans="1:101">
      <c r="A73" t="s">
        <v>558</v>
      </c>
      <c r="B73" t="s">
        <v>139</v>
      </c>
      <c r="C73" s="18">
        <v>15</v>
      </c>
      <c r="D73" s="18">
        <v>0.5253004611929295</v>
      </c>
      <c r="E73" s="18">
        <v>0</v>
      </c>
      <c r="F73" s="18">
        <v>7.3963740963958288E-2</v>
      </c>
      <c r="G73" s="18">
        <v>0</v>
      </c>
      <c r="H73" s="18">
        <v>0</v>
      </c>
      <c r="I73" s="18" t="s">
        <v>577</v>
      </c>
      <c r="J73" s="18"/>
      <c r="K73" s="18"/>
      <c r="L73" s="18">
        <v>0.56446323784331998</v>
      </c>
      <c r="M73" s="18">
        <v>9.9436746959285252E-5</v>
      </c>
      <c r="N73" s="18">
        <v>9.8719057111503719E-5</v>
      </c>
      <c r="O73" s="18">
        <v>0</v>
      </c>
      <c r="P73" s="18">
        <v>0</v>
      </c>
      <c r="Q73" s="18">
        <v>0</v>
      </c>
      <c r="R73" s="18">
        <v>1.4749357993007618E-2</v>
      </c>
      <c r="S73" s="18">
        <v>3.4083522957153618E-2</v>
      </c>
      <c r="T73" s="18">
        <v>0</v>
      </c>
      <c r="U73" s="18">
        <v>4.9472264310696484E-2</v>
      </c>
      <c r="V73" s="18" t="s">
        <v>773</v>
      </c>
      <c r="W73" s="18" t="s">
        <v>773</v>
      </c>
      <c r="X73" s="18" t="s">
        <v>773</v>
      </c>
      <c r="Y73" s="18" t="s">
        <v>773</v>
      </c>
      <c r="Z73" s="18">
        <v>0</v>
      </c>
      <c r="AA73" s="18">
        <v>0</v>
      </c>
      <c r="AB73" s="18">
        <v>0</v>
      </c>
      <c r="AC73" s="18">
        <v>0</v>
      </c>
      <c r="AD73" s="18">
        <v>0</v>
      </c>
      <c r="AE73" s="18">
        <v>0</v>
      </c>
      <c r="AF73" s="18">
        <v>0</v>
      </c>
      <c r="AG73" s="18">
        <v>0</v>
      </c>
      <c r="AH73" s="18">
        <v>1.4749357993007618E-2</v>
      </c>
      <c r="AI73" s="18">
        <v>3.4083522957153618E-2</v>
      </c>
      <c r="AJ73" s="18">
        <v>0</v>
      </c>
      <c r="AK73" s="18">
        <v>4.9472264310696484E-2</v>
      </c>
      <c r="AL73" s="18">
        <v>9.8305145260857721E-2</v>
      </c>
      <c r="AM73" s="18">
        <v>0.29246111222042553</v>
      </c>
      <c r="AN73" s="18">
        <v>3.5135823888325146E-2</v>
      </c>
      <c r="AO73" s="18">
        <v>0</v>
      </c>
      <c r="AP73" s="18">
        <v>0</v>
      </c>
      <c r="AQ73" s="18">
        <v>0.32759693610875068</v>
      </c>
      <c r="AR73" s="18">
        <v>1.4749357993007618E-2</v>
      </c>
      <c r="AS73" s="599">
        <v>22.210928520689372</v>
      </c>
      <c r="AT73" s="18">
        <v>0.29246111222042553</v>
      </c>
      <c r="AU73" s="18">
        <v>4.1590350280997987E-2</v>
      </c>
      <c r="AV73" s="18">
        <v>0</v>
      </c>
      <c r="AW73" s="18">
        <v>0</v>
      </c>
      <c r="AX73" s="18">
        <v>0.33405146250142354</v>
      </c>
      <c r="AY73" s="18">
        <v>3.4083522957153618E-2</v>
      </c>
      <c r="AZ73" s="599">
        <v>9.8009663766670911</v>
      </c>
      <c r="BA73" s="18">
        <v>0.29246111222042553</v>
      </c>
      <c r="BB73" s="18">
        <v>7.6726174169323133E-2</v>
      </c>
      <c r="BC73" s="18">
        <v>0</v>
      </c>
      <c r="BD73" s="18">
        <v>0</v>
      </c>
      <c r="BE73" s="18">
        <v>0.36918728638974868</v>
      </c>
      <c r="BF73" s="18">
        <v>4.8832880950161237E-2</v>
      </c>
      <c r="BG73" s="18">
        <v>-3.636086816455014</v>
      </c>
      <c r="BH73" s="599">
        <v>7.5602192458507753</v>
      </c>
      <c r="BI73" s="18">
        <v>1.9226824788371759</v>
      </c>
      <c r="BJ73" s="18">
        <v>4.4430267702384905</v>
      </c>
      <c r="BK73" s="18">
        <v>0</v>
      </c>
      <c r="BL73" s="18">
        <v>6.4490573639660873</v>
      </c>
      <c r="BM73" s="18">
        <v>12.814766613041755</v>
      </c>
      <c r="BN73" s="18">
        <v>0.29246111222042553</v>
      </c>
      <c r="BO73" s="18">
        <v>0</v>
      </c>
      <c r="BP73" s="18">
        <v>7.6726174169323133E-2</v>
      </c>
      <c r="BQ73" s="18">
        <v>0</v>
      </c>
      <c r="BR73" s="18">
        <v>0</v>
      </c>
      <c r="BS73" s="18">
        <v>0</v>
      </c>
      <c r="BT73" s="18">
        <v>0</v>
      </c>
      <c r="BU73" s="18">
        <v>0</v>
      </c>
      <c r="BV73" s="18">
        <v>0</v>
      </c>
      <c r="BW73" s="18">
        <v>0</v>
      </c>
      <c r="BX73" s="18">
        <v>9.8305145260857721E-2</v>
      </c>
      <c r="BY73" s="18"/>
      <c r="BZ73" s="18">
        <v>0</v>
      </c>
      <c r="CA73" s="18">
        <v>0</v>
      </c>
      <c r="CB73" s="18">
        <v>0.36918728638974868</v>
      </c>
      <c r="CC73" s="18">
        <v>9.8305145260857721E-2</v>
      </c>
      <c r="CD73" s="599">
        <v>3.7555235324671092</v>
      </c>
      <c r="CE73" s="18">
        <v>2.8129705475110702</v>
      </c>
      <c r="CF73" s="18">
        <v>5.3624543232264994E-3</v>
      </c>
      <c r="CG73" s="18">
        <v>0</v>
      </c>
      <c r="CH73" s="18">
        <v>5.3624543232264994E-3</v>
      </c>
      <c r="CI73" s="18">
        <v>2.6812003797557689E-4</v>
      </c>
      <c r="CJ73" s="18">
        <v>0</v>
      </c>
      <c r="CK73" s="18">
        <v>2.6812003797557689E-4</v>
      </c>
      <c r="CL73" s="18"/>
      <c r="CM73" s="18">
        <v>0</v>
      </c>
      <c r="CN73" s="18"/>
      <c r="CO73" s="18">
        <v>0</v>
      </c>
      <c r="CP73" s="18">
        <v>0</v>
      </c>
      <c r="CQ73" s="18">
        <v>0</v>
      </c>
      <c r="CR73" s="18">
        <v>0</v>
      </c>
      <c r="CS73" s="18">
        <v>0</v>
      </c>
      <c r="CT73" s="18">
        <v>0</v>
      </c>
      <c r="CU73" s="18">
        <v>0</v>
      </c>
      <c r="CV73" s="18">
        <v>9999</v>
      </c>
      <c r="CW73" s="599">
        <v>9999</v>
      </c>
    </row>
    <row r="74" spans="1:101">
      <c r="A74" t="s">
        <v>559</v>
      </c>
      <c r="B74" t="s">
        <v>137</v>
      </c>
      <c r="C74" s="18">
        <v>15</v>
      </c>
      <c r="D74" s="18">
        <v>4.8885865216023019</v>
      </c>
      <c r="E74" s="18">
        <v>0</v>
      </c>
      <c r="F74" s="18">
        <v>0.59537840461596525</v>
      </c>
      <c r="G74" s="18">
        <v>0</v>
      </c>
      <c r="H74" s="18">
        <v>0</v>
      </c>
      <c r="I74" s="18" t="s">
        <v>788</v>
      </c>
      <c r="J74" s="18"/>
      <c r="K74" s="18"/>
      <c r="L74" s="18">
        <v>5.2516901160200797</v>
      </c>
      <c r="M74" s="18">
        <v>1.7982490631536358E-3</v>
      </c>
      <c r="N74" s="18">
        <v>1.785270107829037E-3</v>
      </c>
      <c r="O74" s="18">
        <v>0</v>
      </c>
      <c r="P74" s="18">
        <v>0</v>
      </c>
      <c r="Q74" s="18">
        <v>0</v>
      </c>
      <c r="R74" s="18">
        <v>0.11872640724413483</v>
      </c>
      <c r="S74" s="18">
        <v>0.27435866895659194</v>
      </c>
      <c r="T74" s="18">
        <v>0</v>
      </c>
      <c r="U74" s="18">
        <v>0.39823185542216949</v>
      </c>
      <c r="V74" s="18" t="s">
        <v>773</v>
      </c>
      <c r="W74" s="18" t="s">
        <v>773</v>
      </c>
      <c r="X74" s="18" t="s">
        <v>773</v>
      </c>
      <c r="Y74" s="18" t="s">
        <v>773</v>
      </c>
      <c r="Z74" s="18">
        <v>0</v>
      </c>
      <c r="AA74" s="18">
        <v>0</v>
      </c>
      <c r="AB74" s="18">
        <v>0</v>
      </c>
      <c r="AC74" s="18">
        <v>0</v>
      </c>
      <c r="AD74" s="18">
        <v>0</v>
      </c>
      <c r="AE74" s="18">
        <v>0</v>
      </c>
      <c r="AF74" s="18">
        <v>0</v>
      </c>
      <c r="AG74" s="18">
        <v>0</v>
      </c>
      <c r="AH74" s="18">
        <v>0.11872640724413483</v>
      </c>
      <c r="AI74" s="18">
        <v>0.27435866895659194</v>
      </c>
      <c r="AJ74" s="18">
        <v>0</v>
      </c>
      <c r="AK74" s="18">
        <v>0.39823185542216949</v>
      </c>
      <c r="AL74" s="18">
        <v>0.79131693162289629</v>
      </c>
      <c r="AM74" s="18">
        <v>2.7046341519480439</v>
      </c>
      <c r="AN74" s="18">
        <v>0.63540858206254824</v>
      </c>
      <c r="AO74" s="18">
        <v>0</v>
      </c>
      <c r="AP74" s="18">
        <v>0</v>
      </c>
      <c r="AQ74" s="18">
        <v>3.3400427340105923</v>
      </c>
      <c r="AR74" s="18">
        <v>0.11872640724413483</v>
      </c>
      <c r="AS74" s="599">
        <v>28.132264856145497</v>
      </c>
      <c r="AT74" s="18">
        <v>2.7046341519480439</v>
      </c>
      <c r="AU74" s="18">
        <v>0.75213450475867993</v>
      </c>
      <c r="AV74" s="18">
        <v>0</v>
      </c>
      <c r="AW74" s="18">
        <v>0</v>
      </c>
      <c r="AX74" s="18">
        <v>3.456768656706724</v>
      </c>
      <c r="AY74" s="18">
        <v>0.27435866895659194</v>
      </c>
      <c r="AZ74" s="599">
        <v>12.599451185023943</v>
      </c>
      <c r="BA74" s="18">
        <v>2.7046341519480439</v>
      </c>
      <c r="BB74" s="18">
        <v>1.3875430868212282</v>
      </c>
      <c r="BC74" s="18">
        <v>0</v>
      </c>
      <c r="BD74" s="18">
        <v>0</v>
      </c>
      <c r="BE74" s="18">
        <v>4.0921772387692723</v>
      </c>
      <c r="BF74" s="18">
        <v>0.39308507620072675</v>
      </c>
      <c r="BG74" s="18">
        <v>-13.933411803291348</v>
      </c>
      <c r="BH74" s="599">
        <v>10.410411095535014</v>
      </c>
      <c r="BI74" s="18">
        <v>1.6634829287820909</v>
      </c>
      <c r="BJ74" s="18">
        <v>3.8440560340902064</v>
      </c>
      <c r="BK74" s="18">
        <v>0</v>
      </c>
      <c r="BL74" s="18">
        <v>5.5796508002622325</v>
      </c>
      <c r="BM74" s="18">
        <v>11.08718976313453</v>
      </c>
      <c r="BN74" s="18">
        <v>2.7046341519480439</v>
      </c>
      <c r="BO74" s="18">
        <v>0</v>
      </c>
      <c r="BP74" s="18">
        <v>1.3875430868212282</v>
      </c>
      <c r="BQ74" s="18">
        <v>0</v>
      </c>
      <c r="BR74" s="18">
        <v>0</v>
      </c>
      <c r="BS74" s="18">
        <v>0</v>
      </c>
      <c r="BT74" s="18">
        <v>0</v>
      </c>
      <c r="BU74" s="18">
        <v>0</v>
      </c>
      <c r="BV74" s="18">
        <v>0</v>
      </c>
      <c r="BW74" s="18">
        <v>0</v>
      </c>
      <c r="BX74" s="18">
        <v>0.79131693162289629</v>
      </c>
      <c r="BY74" s="18"/>
      <c r="BZ74" s="18">
        <v>0</v>
      </c>
      <c r="CA74" s="18">
        <v>0</v>
      </c>
      <c r="CB74" s="18">
        <v>4.0921772387692723</v>
      </c>
      <c r="CC74" s="18">
        <v>0.79131693162289629</v>
      </c>
      <c r="CD74" s="599">
        <v>5.1713505363479415</v>
      </c>
      <c r="CE74" s="18">
        <v>-8.3537610030291134</v>
      </c>
      <c r="CF74" s="18">
        <v>4.9891616218967767E-2</v>
      </c>
      <c r="CG74" s="18">
        <v>0</v>
      </c>
      <c r="CH74" s="18">
        <v>4.9891616218967767E-2</v>
      </c>
      <c r="CI74" s="18">
        <v>2.4945528051095373E-3</v>
      </c>
      <c r="CJ74" s="18">
        <v>0</v>
      </c>
      <c r="CK74" s="18">
        <v>2.4945528051095373E-3</v>
      </c>
      <c r="CL74" s="18"/>
      <c r="CM74" s="18">
        <v>0</v>
      </c>
      <c r="CN74" s="18"/>
      <c r="CO74" s="18">
        <v>0</v>
      </c>
      <c r="CP74" s="18">
        <v>0</v>
      </c>
      <c r="CQ74" s="18">
        <v>0</v>
      </c>
      <c r="CR74" s="18">
        <v>0</v>
      </c>
      <c r="CS74" s="18">
        <v>0</v>
      </c>
      <c r="CT74" s="18">
        <v>0</v>
      </c>
      <c r="CU74" s="18">
        <v>0</v>
      </c>
      <c r="CV74" s="18">
        <v>9999</v>
      </c>
      <c r="CW74" s="599">
        <v>9999</v>
      </c>
    </row>
    <row r="75" spans="1:101">
      <c r="A75" t="s">
        <v>560</v>
      </c>
      <c r="B75" t="s">
        <v>64</v>
      </c>
      <c r="C75" s="18">
        <v>15</v>
      </c>
      <c r="D75" s="18">
        <v>5.173293534972041</v>
      </c>
      <c r="E75" s="18">
        <v>0</v>
      </c>
      <c r="F75" s="18">
        <v>0.63250552514432767</v>
      </c>
      <c r="G75" s="18">
        <v>0</v>
      </c>
      <c r="H75" s="18">
        <v>0</v>
      </c>
      <c r="I75" s="18" t="s">
        <v>788</v>
      </c>
      <c r="J75" s="18"/>
      <c r="K75" s="18"/>
      <c r="L75" s="18">
        <v>5.5575439658943351</v>
      </c>
      <c r="M75" s="18">
        <v>1.9029775194882078E-3</v>
      </c>
      <c r="N75" s="18">
        <v>1.8892426811305896E-3</v>
      </c>
      <c r="O75" s="18">
        <v>0</v>
      </c>
      <c r="P75" s="18">
        <v>0</v>
      </c>
      <c r="Q75" s="18">
        <v>0</v>
      </c>
      <c r="R75" s="18">
        <v>0.12613005104021052</v>
      </c>
      <c r="S75" s="18">
        <v>0.2914673636814582</v>
      </c>
      <c r="T75" s="18">
        <v>0</v>
      </c>
      <c r="U75" s="18">
        <v>0.42306514124487105</v>
      </c>
      <c r="V75" s="18" t="s">
        <v>773</v>
      </c>
      <c r="W75" s="18" t="s">
        <v>773</v>
      </c>
      <c r="X75" s="18" t="s">
        <v>773</v>
      </c>
      <c r="Y75" s="18" t="s">
        <v>773</v>
      </c>
      <c r="Z75" s="18">
        <v>0</v>
      </c>
      <c r="AA75" s="18">
        <v>0</v>
      </c>
      <c r="AB75" s="18">
        <v>0</v>
      </c>
      <c r="AC75" s="18">
        <v>0</v>
      </c>
      <c r="AD75" s="18">
        <v>0</v>
      </c>
      <c r="AE75" s="18">
        <v>0</v>
      </c>
      <c r="AF75" s="18">
        <v>0</v>
      </c>
      <c r="AG75" s="18">
        <v>0</v>
      </c>
      <c r="AH75" s="18">
        <v>0.12613005104021052</v>
      </c>
      <c r="AI75" s="18">
        <v>0.2914673636814582</v>
      </c>
      <c r="AJ75" s="18">
        <v>0</v>
      </c>
      <c r="AK75" s="18">
        <v>0.42306514124487105</v>
      </c>
      <c r="AL75" s="18">
        <v>0.84066255596653972</v>
      </c>
      <c r="AM75" s="18">
        <v>2.862149684966889</v>
      </c>
      <c r="AN75" s="18">
        <v>0.67241422344152801</v>
      </c>
      <c r="AO75" s="18">
        <v>0</v>
      </c>
      <c r="AP75" s="18">
        <v>0</v>
      </c>
      <c r="AQ75" s="18">
        <v>3.5345639084084173</v>
      </c>
      <c r="AR75" s="18">
        <v>0.12613005104021052</v>
      </c>
      <c r="AS75" s="599">
        <v>28.02317036470231</v>
      </c>
      <c r="AT75" s="18">
        <v>2.862149684966889</v>
      </c>
      <c r="AU75" s="18">
        <v>0.79593816202359946</v>
      </c>
      <c r="AV75" s="18">
        <v>0</v>
      </c>
      <c r="AW75" s="18">
        <v>0</v>
      </c>
      <c r="AX75" s="18">
        <v>3.6580878469904885</v>
      </c>
      <c r="AY75" s="18">
        <v>0.2914673636814582</v>
      </c>
      <c r="AZ75" s="599">
        <v>12.550591602387348</v>
      </c>
      <c r="BA75" s="18">
        <v>2.862149684966889</v>
      </c>
      <c r="BB75" s="18">
        <v>1.4683523854651275</v>
      </c>
      <c r="BC75" s="18">
        <v>0</v>
      </c>
      <c r="BD75" s="18">
        <v>0</v>
      </c>
      <c r="BE75" s="18">
        <v>4.3305020704320167</v>
      </c>
      <c r="BF75" s="18">
        <v>0.41759741472166872</v>
      </c>
      <c r="BG75" s="18">
        <v>-13.911970897268274</v>
      </c>
      <c r="BH75" s="599">
        <v>10.370040421151369</v>
      </c>
      <c r="BI75" s="18">
        <v>1.6699588849918312</v>
      </c>
      <c r="BJ75" s="18">
        <v>3.8590209839035365</v>
      </c>
      <c r="BK75" s="18">
        <v>0</v>
      </c>
      <c r="BL75" s="18">
        <v>5.6013724384124943</v>
      </c>
      <c r="BM75" s="18">
        <v>11.130352307307861</v>
      </c>
      <c r="BN75" s="18">
        <v>2.862149684966889</v>
      </c>
      <c r="BO75" s="18">
        <v>0</v>
      </c>
      <c r="BP75" s="18">
        <v>1.4683523854651275</v>
      </c>
      <c r="BQ75" s="18">
        <v>0</v>
      </c>
      <c r="BR75" s="18">
        <v>0</v>
      </c>
      <c r="BS75" s="18">
        <v>0</v>
      </c>
      <c r="BT75" s="18">
        <v>0</v>
      </c>
      <c r="BU75" s="18">
        <v>0</v>
      </c>
      <c r="BV75" s="18">
        <v>0</v>
      </c>
      <c r="BW75" s="18">
        <v>0</v>
      </c>
      <c r="BX75" s="18">
        <v>0.84066255596653972</v>
      </c>
      <c r="BY75" s="18"/>
      <c r="BZ75" s="18">
        <v>0</v>
      </c>
      <c r="CA75" s="18">
        <v>0</v>
      </c>
      <c r="CB75" s="18">
        <v>4.3305020704320167</v>
      </c>
      <c r="CC75" s="18">
        <v>0.84066255596653972</v>
      </c>
      <c r="CD75" s="599">
        <v>5.1512964859640791</v>
      </c>
      <c r="CE75" s="18">
        <v>-8.3105984588557842</v>
      </c>
      <c r="CF75" s="18">
        <v>5.2797260413485501E-2</v>
      </c>
      <c r="CG75" s="18">
        <v>0</v>
      </c>
      <c r="CH75" s="18">
        <v>5.2797260413485501E-2</v>
      </c>
      <c r="CI75" s="18">
        <v>2.6398333837998082E-3</v>
      </c>
      <c r="CJ75" s="18">
        <v>0</v>
      </c>
      <c r="CK75" s="18">
        <v>2.6398333837998082E-3</v>
      </c>
      <c r="CL75" s="18"/>
      <c r="CM75" s="18">
        <v>0</v>
      </c>
      <c r="CN75" s="18"/>
      <c r="CO75" s="18">
        <v>0</v>
      </c>
      <c r="CP75" s="18">
        <v>0</v>
      </c>
      <c r="CQ75" s="18">
        <v>0</v>
      </c>
      <c r="CR75" s="18">
        <v>0</v>
      </c>
      <c r="CS75" s="18">
        <v>0</v>
      </c>
      <c r="CT75" s="18">
        <v>0</v>
      </c>
      <c r="CU75" s="18">
        <v>0</v>
      </c>
      <c r="CV75" s="18">
        <v>9999</v>
      </c>
      <c r="CW75" s="599">
        <v>9999</v>
      </c>
    </row>
    <row r="76" spans="1:101">
      <c r="A76" t="s">
        <v>561</v>
      </c>
      <c r="B76" t="s">
        <v>56</v>
      </c>
      <c r="C76" s="18">
        <v>15</v>
      </c>
      <c r="D76" s="18">
        <v>4</v>
      </c>
      <c r="E76" s="18">
        <v>0</v>
      </c>
      <c r="F76" s="18">
        <v>0.45149651239206373</v>
      </c>
      <c r="G76" s="18">
        <v>0</v>
      </c>
      <c r="H76" s="18">
        <v>0</v>
      </c>
      <c r="I76" s="18" t="s">
        <v>788</v>
      </c>
      <c r="J76" s="18"/>
      <c r="K76" s="18"/>
      <c r="L76" s="18">
        <v>4.297103134260384</v>
      </c>
      <c r="M76" s="18">
        <v>1.4713856900822407E-3</v>
      </c>
      <c r="N76" s="18">
        <v>1.4607658880046906E-3</v>
      </c>
      <c r="O76" s="18">
        <v>0</v>
      </c>
      <c r="P76" s="18">
        <v>0</v>
      </c>
      <c r="Q76" s="18">
        <v>0</v>
      </c>
      <c r="R76" s="18">
        <v>9.003443588811906E-2</v>
      </c>
      <c r="S76" s="18">
        <v>0.20805588717704784</v>
      </c>
      <c r="T76" s="18">
        <v>0</v>
      </c>
      <c r="U76" s="18">
        <v>0.30199330787368073</v>
      </c>
      <c r="V76" s="18" t="s">
        <v>773</v>
      </c>
      <c r="W76" s="18" t="s">
        <v>773</v>
      </c>
      <c r="X76" s="18" t="s">
        <v>773</v>
      </c>
      <c r="Y76" s="18" t="s">
        <v>773</v>
      </c>
      <c r="Z76" s="18">
        <v>0</v>
      </c>
      <c r="AA76" s="18">
        <v>0</v>
      </c>
      <c r="AB76" s="18">
        <v>0</v>
      </c>
      <c r="AC76" s="18">
        <v>0</v>
      </c>
      <c r="AD76" s="18">
        <v>0</v>
      </c>
      <c r="AE76" s="18">
        <v>0</v>
      </c>
      <c r="AF76" s="18">
        <v>0</v>
      </c>
      <c r="AG76" s="18">
        <v>0</v>
      </c>
      <c r="AH76" s="18">
        <v>9.003443588811906E-2</v>
      </c>
      <c r="AI76" s="18">
        <v>0.20805588717704784</v>
      </c>
      <c r="AJ76" s="18">
        <v>0</v>
      </c>
      <c r="AK76" s="18">
        <v>0.30199330787368073</v>
      </c>
      <c r="AL76" s="18">
        <v>0.60008363093884765</v>
      </c>
      <c r="AM76" s="18">
        <v>2.2130193584558375</v>
      </c>
      <c r="AN76" s="18">
        <v>0.51991190439586132</v>
      </c>
      <c r="AO76" s="18">
        <v>0</v>
      </c>
      <c r="AP76" s="18">
        <v>0</v>
      </c>
      <c r="AQ76" s="18">
        <v>2.7329312628516989</v>
      </c>
      <c r="AR76" s="18">
        <v>9.003443588811906E-2</v>
      </c>
      <c r="AS76" s="599">
        <v>30.354288732899544</v>
      </c>
      <c r="AT76" s="18">
        <v>2.2130193584558375</v>
      </c>
      <c r="AU76" s="18">
        <v>0.61542083907898792</v>
      </c>
      <c r="AV76" s="18">
        <v>0</v>
      </c>
      <c r="AW76" s="18">
        <v>0</v>
      </c>
      <c r="AX76" s="18">
        <v>2.8284401975348255</v>
      </c>
      <c r="AY76" s="18">
        <v>0.20805588717704784</v>
      </c>
      <c r="AZ76" s="599">
        <v>13.594617465104113</v>
      </c>
      <c r="BA76" s="18">
        <v>2.2130193584558375</v>
      </c>
      <c r="BB76" s="18">
        <v>1.1353327434748492</v>
      </c>
      <c r="BC76" s="18">
        <v>0</v>
      </c>
      <c r="BD76" s="18">
        <v>0</v>
      </c>
      <c r="BE76" s="18">
        <v>3.3483521019306868</v>
      </c>
      <c r="BF76" s="18">
        <v>0.29809032306516692</v>
      </c>
      <c r="BG76" s="18">
        <v>-14.336579974528753</v>
      </c>
      <c r="BH76" s="599">
        <v>11.232676282479281</v>
      </c>
      <c r="BI76" s="18">
        <v>1.5417110493995141</v>
      </c>
      <c r="BJ76" s="18">
        <v>3.5626597422353714</v>
      </c>
      <c r="BK76" s="18">
        <v>0</v>
      </c>
      <c r="BL76" s="18">
        <v>5.17120382885635</v>
      </c>
      <c r="BM76" s="18">
        <v>10.275574620491234</v>
      </c>
      <c r="BN76" s="18">
        <v>2.2130193584558375</v>
      </c>
      <c r="BO76" s="18">
        <v>0</v>
      </c>
      <c r="BP76" s="18">
        <v>1.1353327434748492</v>
      </c>
      <c r="BQ76" s="18">
        <v>0</v>
      </c>
      <c r="BR76" s="18">
        <v>0</v>
      </c>
      <c r="BS76" s="18">
        <v>0</v>
      </c>
      <c r="BT76" s="18">
        <v>0</v>
      </c>
      <c r="BU76" s="18">
        <v>0</v>
      </c>
      <c r="BV76" s="18">
        <v>0</v>
      </c>
      <c r="BW76" s="18">
        <v>0</v>
      </c>
      <c r="BX76" s="18">
        <v>0.60008363093884765</v>
      </c>
      <c r="BY76" s="18"/>
      <c r="BZ76" s="18">
        <v>0</v>
      </c>
      <c r="CA76" s="18">
        <v>0</v>
      </c>
      <c r="CB76" s="18">
        <v>3.3483521019306868</v>
      </c>
      <c r="CC76" s="18">
        <v>0.60008363093884765</v>
      </c>
      <c r="CD76" s="599">
        <v>5.5798090954290753</v>
      </c>
      <c r="CE76" s="18">
        <v>-9.1653761456724023</v>
      </c>
      <c r="CF76" s="18">
        <v>4.0822938081181877E-2</v>
      </c>
      <c r="CG76" s="18">
        <v>0</v>
      </c>
      <c r="CH76" s="18">
        <v>4.0822938081181877E-2</v>
      </c>
      <c r="CI76" s="18">
        <v>2.0411239887736816E-3</v>
      </c>
      <c r="CJ76" s="18">
        <v>0</v>
      </c>
      <c r="CK76" s="18">
        <v>2.0411239887736816E-3</v>
      </c>
      <c r="CL76" s="18"/>
      <c r="CM76" s="18">
        <v>0</v>
      </c>
      <c r="CN76" s="18"/>
      <c r="CO76" s="18">
        <v>0</v>
      </c>
      <c r="CP76" s="18">
        <v>0</v>
      </c>
      <c r="CQ76" s="18">
        <v>0</v>
      </c>
      <c r="CR76" s="18">
        <v>0</v>
      </c>
      <c r="CS76" s="18">
        <v>0</v>
      </c>
      <c r="CT76" s="18">
        <v>0</v>
      </c>
      <c r="CU76" s="18">
        <v>0</v>
      </c>
      <c r="CV76" s="18">
        <v>9999</v>
      </c>
      <c r="CW76" s="599">
        <v>9999</v>
      </c>
    </row>
    <row r="77" spans="1:101">
      <c r="A77" t="s">
        <v>562</v>
      </c>
      <c r="B77" t="s">
        <v>139</v>
      </c>
      <c r="C77" s="18">
        <v>15</v>
      </c>
      <c r="D77" s="18">
        <v>2.8336615973578971</v>
      </c>
      <c r="E77" s="18">
        <v>0</v>
      </c>
      <c r="F77" s="18">
        <v>0.3776042842716732</v>
      </c>
      <c r="G77" s="18">
        <v>0</v>
      </c>
      <c r="H77" s="18">
        <v>0</v>
      </c>
      <c r="I77" s="18" t="s">
        <v>577</v>
      </c>
      <c r="J77" s="18"/>
      <c r="K77" s="18"/>
      <c r="L77" s="18">
        <v>3.0449198475183858</v>
      </c>
      <c r="M77" s="18">
        <v>5.3639795134547634E-4</v>
      </c>
      <c r="N77" s="18">
        <v>5.3252647147688115E-4</v>
      </c>
      <c r="O77" s="18">
        <v>0</v>
      </c>
      <c r="P77" s="18">
        <v>0</v>
      </c>
      <c r="Q77" s="18">
        <v>0</v>
      </c>
      <c r="R77" s="18">
        <v>7.5299338511423314E-2</v>
      </c>
      <c r="S77" s="18">
        <v>0.17400531833516353</v>
      </c>
      <c r="T77" s="18">
        <v>0</v>
      </c>
      <c r="U77" s="18">
        <v>0.2525688764910175</v>
      </c>
      <c r="V77" s="18" t="s">
        <v>773</v>
      </c>
      <c r="W77" s="18" t="s">
        <v>773</v>
      </c>
      <c r="X77" s="18" t="s">
        <v>773</v>
      </c>
      <c r="Y77" s="18" t="s">
        <v>773</v>
      </c>
      <c r="Z77" s="18">
        <v>0</v>
      </c>
      <c r="AA77" s="18">
        <v>0</v>
      </c>
      <c r="AB77" s="18">
        <v>0</v>
      </c>
      <c r="AC77" s="18">
        <v>0</v>
      </c>
      <c r="AD77" s="18">
        <v>0</v>
      </c>
      <c r="AE77" s="18">
        <v>0</v>
      </c>
      <c r="AF77" s="18">
        <v>0</v>
      </c>
      <c r="AG77" s="18">
        <v>0</v>
      </c>
      <c r="AH77" s="18">
        <v>7.5299338511423314E-2</v>
      </c>
      <c r="AI77" s="18">
        <v>0.17400531833516353</v>
      </c>
      <c r="AJ77" s="18">
        <v>0</v>
      </c>
      <c r="AK77" s="18">
        <v>0.2525688764910175</v>
      </c>
      <c r="AL77" s="18">
        <v>0.50187353333760432</v>
      </c>
      <c r="AM77" s="18">
        <v>1.577641528312353</v>
      </c>
      <c r="AN77" s="18">
        <v>0.18953540344848516</v>
      </c>
      <c r="AO77" s="18">
        <v>0</v>
      </c>
      <c r="AP77" s="18">
        <v>0</v>
      </c>
      <c r="AQ77" s="18">
        <v>1.7671769317608381</v>
      </c>
      <c r="AR77" s="18">
        <v>7.5299338511423314E-2</v>
      </c>
      <c r="AS77" s="599">
        <v>23.468691315166705</v>
      </c>
      <c r="AT77" s="18">
        <v>1.577641528312353</v>
      </c>
      <c r="AU77" s="18">
        <v>0.22435346457585315</v>
      </c>
      <c r="AV77" s="18">
        <v>0</v>
      </c>
      <c r="AW77" s="18">
        <v>0</v>
      </c>
      <c r="AX77" s="18">
        <v>1.8019949928882062</v>
      </c>
      <c r="AY77" s="18">
        <v>0.17400531833516353</v>
      </c>
      <c r="AZ77" s="599">
        <v>10.355976530655578</v>
      </c>
      <c r="BA77" s="18">
        <v>1.577641528312353</v>
      </c>
      <c r="BB77" s="18">
        <v>0.41388886802433833</v>
      </c>
      <c r="BC77" s="18">
        <v>0</v>
      </c>
      <c r="BD77" s="18">
        <v>0</v>
      </c>
      <c r="BE77" s="18">
        <v>1.9915303963366913</v>
      </c>
      <c r="BF77" s="18">
        <v>0.24930465684658684</v>
      </c>
      <c r="BG77" s="18">
        <v>-3.9772456883505858</v>
      </c>
      <c r="BH77" s="599">
        <v>7.9883401358291026</v>
      </c>
      <c r="BI77" s="18">
        <v>1.8196397290306674</v>
      </c>
      <c r="BJ77" s="18">
        <v>4.2049106481494256</v>
      </c>
      <c r="BK77" s="18">
        <v>0</v>
      </c>
      <c r="BL77" s="18">
        <v>6.1034315980076475</v>
      </c>
      <c r="BM77" s="18">
        <v>12.127981975187739</v>
      </c>
      <c r="BN77" s="18">
        <v>1.577641528312353</v>
      </c>
      <c r="BO77" s="18">
        <v>0</v>
      </c>
      <c r="BP77" s="18">
        <v>0.41388886802433833</v>
      </c>
      <c r="BQ77" s="18">
        <v>0</v>
      </c>
      <c r="BR77" s="18">
        <v>0</v>
      </c>
      <c r="BS77" s="18">
        <v>0</v>
      </c>
      <c r="BT77" s="18">
        <v>0</v>
      </c>
      <c r="BU77" s="18">
        <v>0</v>
      </c>
      <c r="BV77" s="18">
        <v>0</v>
      </c>
      <c r="BW77" s="18">
        <v>0</v>
      </c>
      <c r="BX77" s="18">
        <v>0.50187353333760432</v>
      </c>
      <c r="BY77" s="18"/>
      <c r="BZ77" s="18">
        <v>0</v>
      </c>
      <c r="CA77" s="18">
        <v>0</v>
      </c>
      <c r="CB77" s="18">
        <v>1.9915303963366913</v>
      </c>
      <c r="CC77" s="18">
        <v>0.50187353333760432</v>
      </c>
      <c r="CD77" s="599">
        <v>3.9681917137419811</v>
      </c>
      <c r="CE77" s="18">
        <v>2.1261859096570599</v>
      </c>
      <c r="CF77" s="18">
        <v>2.8927027493569818E-2</v>
      </c>
      <c r="CG77" s="18">
        <v>0</v>
      </c>
      <c r="CH77" s="18">
        <v>2.8927027493569818E-2</v>
      </c>
      <c r="CI77" s="18">
        <v>1.446336927571233E-3</v>
      </c>
      <c r="CJ77" s="18">
        <v>0</v>
      </c>
      <c r="CK77" s="18">
        <v>1.446336927571233E-3</v>
      </c>
      <c r="CL77" s="18"/>
      <c r="CM77" s="18">
        <v>0</v>
      </c>
      <c r="CN77" s="18"/>
      <c r="CO77" s="18">
        <v>0</v>
      </c>
      <c r="CP77" s="18">
        <v>0</v>
      </c>
      <c r="CQ77" s="18">
        <v>0</v>
      </c>
      <c r="CR77" s="18">
        <v>0</v>
      </c>
      <c r="CS77" s="18">
        <v>0</v>
      </c>
      <c r="CT77" s="18">
        <v>0</v>
      </c>
      <c r="CU77" s="18">
        <v>0</v>
      </c>
      <c r="CV77" s="18">
        <v>9999</v>
      </c>
      <c r="CW77" s="599">
        <v>9999</v>
      </c>
    </row>
    <row r="78" spans="1:101">
      <c r="A78" t="s">
        <v>563</v>
      </c>
      <c r="B78" t="s">
        <v>137</v>
      </c>
      <c r="C78" s="18">
        <v>15</v>
      </c>
      <c r="D78" s="18">
        <v>6.9735697018533438</v>
      </c>
      <c r="E78" s="18">
        <v>0</v>
      </c>
      <c r="F78" s="18">
        <v>0.92996697553610974</v>
      </c>
      <c r="G78" s="18">
        <v>0</v>
      </c>
      <c r="H78" s="18">
        <v>0</v>
      </c>
      <c r="I78" s="18" t="s">
        <v>788</v>
      </c>
      <c r="J78" s="18"/>
      <c r="K78" s="18"/>
      <c r="L78" s="18">
        <v>7.4915370557043142</v>
      </c>
      <c r="M78" s="18">
        <v>2.5652026670245219E-3</v>
      </c>
      <c r="N78" s="18">
        <v>2.5466881845226013E-3</v>
      </c>
      <c r="O78" s="18">
        <v>0</v>
      </c>
      <c r="P78" s="18">
        <v>0</v>
      </c>
      <c r="Q78" s="18">
        <v>0</v>
      </c>
      <c r="R78" s="18">
        <v>0.18544783788776309</v>
      </c>
      <c r="S78" s="18">
        <v>0.42854174690170277</v>
      </c>
      <c r="T78" s="18">
        <v>0</v>
      </c>
      <c r="U78" s="18">
        <v>0.62202873211024334</v>
      </c>
      <c r="V78" s="18" t="s">
        <v>773</v>
      </c>
      <c r="W78" s="18" t="s">
        <v>773</v>
      </c>
      <c r="X78" s="18" t="s">
        <v>773</v>
      </c>
      <c r="Y78" s="18" t="s">
        <v>773</v>
      </c>
      <c r="Z78" s="18">
        <v>0</v>
      </c>
      <c r="AA78" s="18">
        <v>0</v>
      </c>
      <c r="AB78" s="18">
        <v>0</v>
      </c>
      <c r="AC78" s="18">
        <v>0</v>
      </c>
      <c r="AD78" s="18">
        <v>0</v>
      </c>
      <c r="AE78" s="18">
        <v>0</v>
      </c>
      <c r="AF78" s="18">
        <v>0</v>
      </c>
      <c r="AG78" s="18">
        <v>0</v>
      </c>
      <c r="AH78" s="18">
        <v>0.18544783788776309</v>
      </c>
      <c r="AI78" s="18">
        <v>0.42854174690170277</v>
      </c>
      <c r="AJ78" s="18">
        <v>0</v>
      </c>
      <c r="AK78" s="18">
        <v>0.62202873211024334</v>
      </c>
      <c r="AL78" s="18">
        <v>1.2360183168997092</v>
      </c>
      <c r="AM78" s="18">
        <v>3.8581611869356314</v>
      </c>
      <c r="AN78" s="18">
        <v>0.90641047603196301</v>
      </c>
      <c r="AO78" s="18">
        <v>0</v>
      </c>
      <c r="AP78" s="18">
        <v>0</v>
      </c>
      <c r="AQ78" s="18">
        <v>4.7645716629675947</v>
      </c>
      <c r="AR78" s="18">
        <v>0.18544783788776309</v>
      </c>
      <c r="AS78" s="599">
        <v>25.692247034183342</v>
      </c>
      <c r="AT78" s="18">
        <v>3.8581611869356314</v>
      </c>
      <c r="AU78" s="18">
        <v>1.0729200293225984</v>
      </c>
      <c r="AV78" s="18">
        <v>0</v>
      </c>
      <c r="AW78" s="18">
        <v>0</v>
      </c>
      <c r="AX78" s="18">
        <v>4.9310812162582298</v>
      </c>
      <c r="AY78" s="18">
        <v>0.42854174690170277</v>
      </c>
      <c r="AZ78" s="599">
        <v>11.506653090181437</v>
      </c>
      <c r="BA78" s="18">
        <v>3.8581611869356314</v>
      </c>
      <c r="BB78" s="18">
        <v>1.9793305053545613</v>
      </c>
      <c r="BC78" s="18">
        <v>0</v>
      </c>
      <c r="BD78" s="18">
        <v>0</v>
      </c>
      <c r="BE78" s="18">
        <v>5.8374916922901932</v>
      </c>
      <c r="BF78" s="18">
        <v>0.61398958478946586</v>
      </c>
      <c r="BG78" s="18">
        <v>-13.410355442877277</v>
      </c>
      <c r="BH78" s="599">
        <v>9.5074767339772404</v>
      </c>
      <c r="BI78" s="18">
        <v>1.8214655290333521</v>
      </c>
      <c r="BJ78" s="18">
        <v>4.2091297942530161</v>
      </c>
      <c r="BK78" s="18">
        <v>0</v>
      </c>
      <c r="BL78" s="18">
        <v>6.1095556923820666</v>
      </c>
      <c r="BM78" s="18">
        <v>12.140151015668433</v>
      </c>
      <c r="BN78" s="18">
        <v>3.8581611869356314</v>
      </c>
      <c r="BO78" s="18">
        <v>0</v>
      </c>
      <c r="BP78" s="18">
        <v>1.9793305053545613</v>
      </c>
      <c r="BQ78" s="18">
        <v>0</v>
      </c>
      <c r="BR78" s="18">
        <v>0</v>
      </c>
      <c r="BS78" s="18">
        <v>0</v>
      </c>
      <c r="BT78" s="18">
        <v>0</v>
      </c>
      <c r="BU78" s="18">
        <v>0</v>
      </c>
      <c r="BV78" s="18">
        <v>0</v>
      </c>
      <c r="BW78" s="18">
        <v>0</v>
      </c>
      <c r="BX78" s="18">
        <v>1.2360183168997092</v>
      </c>
      <c r="BY78" s="18"/>
      <c r="BZ78" s="18">
        <v>0</v>
      </c>
      <c r="CA78" s="18">
        <v>0</v>
      </c>
      <c r="CB78" s="18">
        <v>5.8374916922901932</v>
      </c>
      <c r="CC78" s="18">
        <v>1.2360183168997092</v>
      </c>
      <c r="CD78" s="599">
        <v>4.7228197288631675</v>
      </c>
      <c r="CE78" s="18">
        <v>-7.3007997504952051</v>
      </c>
      <c r="CF78" s="18">
        <v>7.1170401035891229E-2</v>
      </c>
      <c r="CG78" s="18">
        <v>0</v>
      </c>
      <c r="CH78" s="18">
        <v>7.1170401035891229E-2</v>
      </c>
      <c r="CI78" s="18">
        <v>3.5584801014595471E-3</v>
      </c>
      <c r="CJ78" s="18">
        <v>0</v>
      </c>
      <c r="CK78" s="18">
        <v>3.5584801014595471E-3</v>
      </c>
      <c r="CL78" s="18"/>
      <c r="CM78" s="18">
        <v>0</v>
      </c>
      <c r="CN78" s="18"/>
      <c r="CO78" s="18">
        <v>0</v>
      </c>
      <c r="CP78" s="18">
        <v>0</v>
      </c>
      <c r="CQ78" s="18">
        <v>0</v>
      </c>
      <c r="CR78" s="18">
        <v>0</v>
      </c>
      <c r="CS78" s="18">
        <v>0</v>
      </c>
      <c r="CT78" s="18">
        <v>0</v>
      </c>
      <c r="CU78" s="18">
        <v>0</v>
      </c>
      <c r="CV78" s="18">
        <v>9999</v>
      </c>
      <c r="CW78" s="599">
        <v>9999</v>
      </c>
    </row>
    <row r="79" spans="1:101">
      <c r="A79" t="s">
        <v>564</v>
      </c>
      <c r="B79" t="s">
        <v>138</v>
      </c>
      <c r="C79" s="18">
        <v>15</v>
      </c>
      <c r="D79" s="18">
        <v>3.8581788879935535</v>
      </c>
      <c r="E79" s="18">
        <v>0</v>
      </c>
      <c r="F79" s="18">
        <v>0.51447889576687988</v>
      </c>
      <c r="G79" s="18">
        <v>0</v>
      </c>
      <c r="H79" s="18">
        <v>0</v>
      </c>
      <c r="I79" s="18" t="s">
        <v>788</v>
      </c>
      <c r="J79" s="18"/>
      <c r="K79" s="18"/>
      <c r="L79" s="18">
        <v>4.1447481480335853</v>
      </c>
      <c r="M79" s="18">
        <v>1.4192173013927816E-3</v>
      </c>
      <c r="N79" s="18">
        <v>1.4089740273502131E-3</v>
      </c>
      <c r="O79" s="18">
        <v>0</v>
      </c>
      <c r="P79" s="18">
        <v>0</v>
      </c>
      <c r="Q79" s="18">
        <v>0</v>
      </c>
      <c r="R79" s="18">
        <v>0.10259396448336253</v>
      </c>
      <c r="S79" s="18">
        <v>0.23707904746713973</v>
      </c>
      <c r="T79" s="18">
        <v>0</v>
      </c>
      <c r="U79" s="18">
        <v>0.34412045120942492</v>
      </c>
      <c r="V79" s="18" t="s">
        <v>773</v>
      </c>
      <c r="W79" s="18" t="s">
        <v>773</v>
      </c>
      <c r="X79" s="18" t="s">
        <v>773</v>
      </c>
      <c r="Y79" s="18" t="s">
        <v>773</v>
      </c>
      <c r="Z79" s="18">
        <v>0</v>
      </c>
      <c r="AA79" s="18">
        <v>0</v>
      </c>
      <c r="AB79" s="18">
        <v>0</v>
      </c>
      <c r="AC79" s="18">
        <v>0</v>
      </c>
      <c r="AD79" s="18">
        <v>0</v>
      </c>
      <c r="AE79" s="18">
        <v>0</v>
      </c>
      <c r="AF79" s="18">
        <v>0</v>
      </c>
      <c r="AG79" s="18">
        <v>0</v>
      </c>
      <c r="AH79" s="18">
        <v>0.10259396448336253</v>
      </c>
      <c r="AI79" s="18">
        <v>0.23707904746713973</v>
      </c>
      <c r="AJ79" s="18">
        <v>0</v>
      </c>
      <c r="AK79" s="18">
        <v>0.34412045120942492</v>
      </c>
      <c r="AL79" s="18">
        <v>0.68379346315992717</v>
      </c>
      <c r="AM79" s="18">
        <v>2.1345561418788366</v>
      </c>
      <c r="AN79" s="18">
        <v>0.50147828328915889</v>
      </c>
      <c r="AO79" s="18">
        <v>0</v>
      </c>
      <c r="AP79" s="18">
        <v>0</v>
      </c>
      <c r="AQ79" s="18">
        <v>2.6360344251679955</v>
      </c>
      <c r="AR79" s="18">
        <v>0.10259396448336253</v>
      </c>
      <c r="AS79" s="599">
        <v>25.693854784171794</v>
      </c>
      <c r="AT79" s="18">
        <v>2.1345561418788366</v>
      </c>
      <c r="AU79" s="18">
        <v>0.59360092214145754</v>
      </c>
      <c r="AV79" s="18">
        <v>0</v>
      </c>
      <c r="AW79" s="18">
        <v>0</v>
      </c>
      <c r="AX79" s="18">
        <v>2.7281570640202943</v>
      </c>
      <c r="AY79" s="18">
        <v>0.23707904746713973</v>
      </c>
      <c r="AZ79" s="599">
        <v>11.507373144809137</v>
      </c>
      <c r="BA79" s="18">
        <v>2.1345561418788366</v>
      </c>
      <c r="BB79" s="18">
        <v>1.0950792054306164</v>
      </c>
      <c r="BC79" s="18">
        <v>0</v>
      </c>
      <c r="BD79" s="18">
        <v>0</v>
      </c>
      <c r="BE79" s="18">
        <v>3.2296353473094532</v>
      </c>
      <c r="BF79" s="18">
        <v>0.33967301195050226</v>
      </c>
      <c r="BG79" s="18">
        <v>-13.410732797293061</v>
      </c>
      <c r="BH79" s="599">
        <v>9.5080716856600933</v>
      </c>
      <c r="BI79" s="18">
        <v>1.8213515538743963</v>
      </c>
      <c r="BJ79" s="18">
        <v>4.2088664149961925</v>
      </c>
      <c r="BK79" s="18">
        <v>0</v>
      </c>
      <c r="BL79" s="18">
        <v>6.1091733971532571</v>
      </c>
      <c r="BM79" s="18">
        <v>12.139391366023846</v>
      </c>
      <c r="BN79" s="18">
        <v>2.1345561418788366</v>
      </c>
      <c r="BO79" s="18">
        <v>0</v>
      </c>
      <c r="BP79" s="18">
        <v>1.0950792054306164</v>
      </c>
      <c r="BQ79" s="18">
        <v>0</v>
      </c>
      <c r="BR79" s="18">
        <v>0</v>
      </c>
      <c r="BS79" s="18">
        <v>0</v>
      </c>
      <c r="BT79" s="18">
        <v>0</v>
      </c>
      <c r="BU79" s="18">
        <v>0</v>
      </c>
      <c r="BV79" s="18">
        <v>0</v>
      </c>
      <c r="BW79" s="18">
        <v>0</v>
      </c>
      <c r="BX79" s="18">
        <v>0.68379346315992717</v>
      </c>
      <c r="BY79" s="18"/>
      <c r="BZ79" s="18">
        <v>0</v>
      </c>
      <c r="CA79" s="18">
        <v>0</v>
      </c>
      <c r="CB79" s="18">
        <v>3.2296353473094532</v>
      </c>
      <c r="CC79" s="18">
        <v>0.68379346315992717</v>
      </c>
      <c r="CD79" s="599">
        <v>4.7231152699014594</v>
      </c>
      <c r="CE79" s="18">
        <v>-7.3015594001398068</v>
      </c>
      <c r="CF79" s="18">
        <v>3.9375549462670932E-2</v>
      </c>
      <c r="CG79" s="18">
        <v>0</v>
      </c>
      <c r="CH79" s="18">
        <v>3.9375549462670932E-2</v>
      </c>
      <c r="CI79" s="18">
        <v>1.9687553703159524E-3</v>
      </c>
      <c r="CJ79" s="18">
        <v>0</v>
      </c>
      <c r="CK79" s="18">
        <v>1.9687553703159524E-3</v>
      </c>
      <c r="CL79" s="18"/>
      <c r="CM79" s="18">
        <v>0</v>
      </c>
      <c r="CN79" s="18"/>
      <c r="CO79" s="18">
        <v>0</v>
      </c>
      <c r="CP79" s="18">
        <v>0</v>
      </c>
      <c r="CQ79" s="18">
        <v>0</v>
      </c>
      <c r="CR79" s="18">
        <v>0</v>
      </c>
      <c r="CS79" s="18">
        <v>0</v>
      </c>
      <c r="CT79" s="18">
        <v>0</v>
      </c>
      <c r="CU79" s="18">
        <v>0</v>
      </c>
      <c r="CV79" s="18">
        <v>9999</v>
      </c>
      <c r="CW79" s="599">
        <v>9999</v>
      </c>
    </row>
    <row r="80" spans="1:101">
      <c r="A80" t="s">
        <v>565</v>
      </c>
      <c r="B80" t="s">
        <v>139</v>
      </c>
      <c r="C80" s="18">
        <v>15</v>
      </c>
      <c r="D80" s="18">
        <v>0.5253004611929295</v>
      </c>
      <c r="E80" s="18">
        <v>0</v>
      </c>
      <c r="F80" s="18">
        <v>7.3963740963958288E-2</v>
      </c>
      <c r="G80" s="18">
        <v>0</v>
      </c>
      <c r="H80" s="18">
        <v>0</v>
      </c>
      <c r="I80" s="18" t="s">
        <v>577</v>
      </c>
      <c r="J80" s="18"/>
      <c r="K80" s="18"/>
      <c r="L80" s="18">
        <v>0.56446323784331998</v>
      </c>
      <c r="M80" s="18">
        <v>9.9436746959285252E-5</v>
      </c>
      <c r="N80" s="18">
        <v>9.8719057111503719E-5</v>
      </c>
      <c r="O80" s="18">
        <v>0</v>
      </c>
      <c r="P80" s="18">
        <v>0</v>
      </c>
      <c r="Q80" s="18">
        <v>0</v>
      </c>
      <c r="R80" s="18">
        <v>1.4749357993007618E-2</v>
      </c>
      <c r="S80" s="18">
        <v>3.4083522957153618E-2</v>
      </c>
      <c r="T80" s="18">
        <v>0</v>
      </c>
      <c r="U80" s="18">
        <v>4.9472264310696484E-2</v>
      </c>
      <c r="V80" s="18" t="s">
        <v>773</v>
      </c>
      <c r="W80" s="18" t="s">
        <v>773</v>
      </c>
      <c r="X80" s="18" t="s">
        <v>773</v>
      </c>
      <c r="Y80" s="18" t="s">
        <v>773</v>
      </c>
      <c r="Z80" s="18">
        <v>0</v>
      </c>
      <c r="AA80" s="18">
        <v>0</v>
      </c>
      <c r="AB80" s="18">
        <v>0</v>
      </c>
      <c r="AC80" s="18">
        <v>0</v>
      </c>
      <c r="AD80" s="18">
        <v>0</v>
      </c>
      <c r="AE80" s="18">
        <v>0</v>
      </c>
      <c r="AF80" s="18">
        <v>0</v>
      </c>
      <c r="AG80" s="18">
        <v>0</v>
      </c>
      <c r="AH80" s="18">
        <v>1.4749357993007618E-2</v>
      </c>
      <c r="AI80" s="18">
        <v>3.4083522957153618E-2</v>
      </c>
      <c r="AJ80" s="18">
        <v>0</v>
      </c>
      <c r="AK80" s="18">
        <v>4.9472264310696484E-2</v>
      </c>
      <c r="AL80" s="18">
        <v>9.8305145260857721E-2</v>
      </c>
      <c r="AM80" s="18">
        <v>0.29246111222042553</v>
      </c>
      <c r="AN80" s="18">
        <v>3.5135823888325146E-2</v>
      </c>
      <c r="AO80" s="18">
        <v>0</v>
      </c>
      <c r="AP80" s="18">
        <v>0</v>
      </c>
      <c r="AQ80" s="18">
        <v>0.32759693610875068</v>
      </c>
      <c r="AR80" s="18">
        <v>1.4749357993007618E-2</v>
      </c>
      <c r="AS80" s="599">
        <v>22.210928520689372</v>
      </c>
      <c r="AT80" s="18">
        <v>0.29246111222042553</v>
      </c>
      <c r="AU80" s="18">
        <v>4.1590350280997987E-2</v>
      </c>
      <c r="AV80" s="18">
        <v>0</v>
      </c>
      <c r="AW80" s="18">
        <v>0</v>
      </c>
      <c r="AX80" s="18">
        <v>0.33405146250142354</v>
      </c>
      <c r="AY80" s="18">
        <v>3.4083522957153618E-2</v>
      </c>
      <c r="AZ80" s="599">
        <v>9.8009663766670911</v>
      </c>
      <c r="BA80" s="18">
        <v>0.29246111222042553</v>
      </c>
      <c r="BB80" s="18">
        <v>7.6726174169323133E-2</v>
      </c>
      <c r="BC80" s="18">
        <v>0</v>
      </c>
      <c r="BD80" s="18">
        <v>0</v>
      </c>
      <c r="BE80" s="18">
        <v>0.36918728638974868</v>
      </c>
      <c r="BF80" s="18">
        <v>4.8832880950161237E-2</v>
      </c>
      <c r="BG80" s="18">
        <v>-3.636086816455014</v>
      </c>
      <c r="BH80" s="599">
        <v>7.5602192458507753</v>
      </c>
      <c r="BI80" s="18">
        <v>1.9226824788371759</v>
      </c>
      <c r="BJ80" s="18">
        <v>4.4430267702384905</v>
      </c>
      <c r="BK80" s="18">
        <v>0</v>
      </c>
      <c r="BL80" s="18">
        <v>6.4490573639660873</v>
      </c>
      <c r="BM80" s="18">
        <v>12.814766613041755</v>
      </c>
      <c r="BN80" s="18">
        <v>0.29246111222042553</v>
      </c>
      <c r="BO80" s="18">
        <v>0</v>
      </c>
      <c r="BP80" s="18">
        <v>7.6726174169323133E-2</v>
      </c>
      <c r="BQ80" s="18">
        <v>0</v>
      </c>
      <c r="BR80" s="18">
        <v>0</v>
      </c>
      <c r="BS80" s="18">
        <v>0</v>
      </c>
      <c r="BT80" s="18">
        <v>0</v>
      </c>
      <c r="BU80" s="18">
        <v>0</v>
      </c>
      <c r="BV80" s="18">
        <v>0</v>
      </c>
      <c r="BW80" s="18">
        <v>0</v>
      </c>
      <c r="BX80" s="18">
        <v>9.8305145260857721E-2</v>
      </c>
      <c r="BY80" s="18"/>
      <c r="BZ80" s="18">
        <v>0</v>
      </c>
      <c r="CA80" s="18">
        <v>0</v>
      </c>
      <c r="CB80" s="18">
        <v>0.36918728638974868</v>
      </c>
      <c r="CC80" s="18">
        <v>9.8305145260857721E-2</v>
      </c>
      <c r="CD80" s="599">
        <v>3.7555235324671092</v>
      </c>
      <c r="CE80" s="18">
        <v>2.8129705475110702</v>
      </c>
      <c r="CF80" s="18">
        <v>5.3624543232264994E-3</v>
      </c>
      <c r="CG80" s="18">
        <v>0</v>
      </c>
      <c r="CH80" s="18">
        <v>5.3624543232264994E-3</v>
      </c>
      <c r="CI80" s="18">
        <v>2.6812003797557689E-4</v>
      </c>
      <c r="CJ80" s="18">
        <v>0</v>
      </c>
      <c r="CK80" s="18">
        <v>2.6812003797557689E-4</v>
      </c>
      <c r="CL80" s="18"/>
      <c r="CM80" s="18">
        <v>0</v>
      </c>
      <c r="CN80" s="18"/>
      <c r="CO80" s="18">
        <v>0</v>
      </c>
      <c r="CP80" s="18">
        <v>0</v>
      </c>
      <c r="CQ80" s="18">
        <v>0</v>
      </c>
      <c r="CR80" s="18">
        <v>0</v>
      </c>
      <c r="CS80" s="18">
        <v>0</v>
      </c>
      <c r="CT80" s="18">
        <v>0</v>
      </c>
      <c r="CU80" s="18">
        <v>0</v>
      </c>
      <c r="CV80" s="18">
        <v>9999</v>
      </c>
      <c r="CW80" s="599">
        <v>9999</v>
      </c>
    </row>
    <row r="81" spans="1:101">
      <c r="A81" t="s">
        <v>566</v>
      </c>
      <c r="B81" t="s">
        <v>137</v>
      </c>
      <c r="C81" s="18">
        <v>15</v>
      </c>
      <c r="D81" s="18">
        <v>4.8885865216023019</v>
      </c>
      <c r="E81" s="18">
        <v>0</v>
      </c>
      <c r="F81" s="18">
        <v>0.59537840461596525</v>
      </c>
      <c r="G81" s="18">
        <v>0</v>
      </c>
      <c r="H81" s="18">
        <v>0</v>
      </c>
      <c r="I81" s="18" t="s">
        <v>788</v>
      </c>
      <c r="J81" s="18"/>
      <c r="K81" s="18"/>
      <c r="L81" s="18">
        <v>5.2516901160200797</v>
      </c>
      <c r="M81" s="18">
        <v>1.7982490631536358E-3</v>
      </c>
      <c r="N81" s="18">
        <v>1.785270107829037E-3</v>
      </c>
      <c r="O81" s="18">
        <v>0</v>
      </c>
      <c r="P81" s="18">
        <v>0</v>
      </c>
      <c r="Q81" s="18">
        <v>0</v>
      </c>
      <c r="R81" s="18">
        <v>0.11872640724413483</v>
      </c>
      <c r="S81" s="18">
        <v>0.27435866895659194</v>
      </c>
      <c r="T81" s="18">
        <v>0</v>
      </c>
      <c r="U81" s="18">
        <v>0.39823185542216949</v>
      </c>
      <c r="V81" s="18" t="s">
        <v>773</v>
      </c>
      <c r="W81" s="18" t="s">
        <v>773</v>
      </c>
      <c r="X81" s="18" t="s">
        <v>773</v>
      </c>
      <c r="Y81" s="18" t="s">
        <v>773</v>
      </c>
      <c r="Z81" s="18">
        <v>0</v>
      </c>
      <c r="AA81" s="18">
        <v>0</v>
      </c>
      <c r="AB81" s="18">
        <v>0</v>
      </c>
      <c r="AC81" s="18">
        <v>0</v>
      </c>
      <c r="AD81" s="18">
        <v>0</v>
      </c>
      <c r="AE81" s="18">
        <v>0</v>
      </c>
      <c r="AF81" s="18">
        <v>0</v>
      </c>
      <c r="AG81" s="18">
        <v>0</v>
      </c>
      <c r="AH81" s="18">
        <v>0.11872640724413483</v>
      </c>
      <c r="AI81" s="18">
        <v>0.27435866895659194</v>
      </c>
      <c r="AJ81" s="18">
        <v>0</v>
      </c>
      <c r="AK81" s="18">
        <v>0.39823185542216949</v>
      </c>
      <c r="AL81" s="18">
        <v>0.79131693162289629</v>
      </c>
      <c r="AM81" s="18">
        <v>2.7046341519480439</v>
      </c>
      <c r="AN81" s="18">
        <v>0.63540858206254824</v>
      </c>
      <c r="AO81" s="18">
        <v>0</v>
      </c>
      <c r="AP81" s="18">
        <v>0</v>
      </c>
      <c r="AQ81" s="18">
        <v>3.3400427340105923</v>
      </c>
      <c r="AR81" s="18">
        <v>0.11872640724413483</v>
      </c>
      <c r="AS81" s="599">
        <v>28.132264856145497</v>
      </c>
      <c r="AT81" s="18">
        <v>2.7046341519480439</v>
      </c>
      <c r="AU81" s="18">
        <v>0.75213450475867993</v>
      </c>
      <c r="AV81" s="18">
        <v>0</v>
      </c>
      <c r="AW81" s="18">
        <v>0</v>
      </c>
      <c r="AX81" s="18">
        <v>3.456768656706724</v>
      </c>
      <c r="AY81" s="18">
        <v>0.27435866895659194</v>
      </c>
      <c r="AZ81" s="599">
        <v>12.599451185023943</v>
      </c>
      <c r="BA81" s="18">
        <v>2.7046341519480439</v>
      </c>
      <c r="BB81" s="18">
        <v>1.3875430868212282</v>
      </c>
      <c r="BC81" s="18">
        <v>0</v>
      </c>
      <c r="BD81" s="18">
        <v>0</v>
      </c>
      <c r="BE81" s="18">
        <v>4.0921772387692723</v>
      </c>
      <c r="BF81" s="18">
        <v>0.39308507620072675</v>
      </c>
      <c r="BG81" s="18">
        <v>-13.933411803291348</v>
      </c>
      <c r="BH81" s="599">
        <v>10.410411095535014</v>
      </c>
      <c r="BI81" s="18">
        <v>1.6634829287820909</v>
      </c>
      <c r="BJ81" s="18">
        <v>3.8440560340902064</v>
      </c>
      <c r="BK81" s="18">
        <v>0</v>
      </c>
      <c r="BL81" s="18">
        <v>5.5796508002622325</v>
      </c>
      <c r="BM81" s="18">
        <v>11.08718976313453</v>
      </c>
      <c r="BN81" s="18">
        <v>2.7046341519480439</v>
      </c>
      <c r="BO81" s="18">
        <v>0</v>
      </c>
      <c r="BP81" s="18">
        <v>1.3875430868212282</v>
      </c>
      <c r="BQ81" s="18">
        <v>0</v>
      </c>
      <c r="BR81" s="18">
        <v>0</v>
      </c>
      <c r="BS81" s="18">
        <v>0</v>
      </c>
      <c r="BT81" s="18">
        <v>0</v>
      </c>
      <c r="BU81" s="18">
        <v>0</v>
      </c>
      <c r="BV81" s="18">
        <v>0</v>
      </c>
      <c r="BW81" s="18">
        <v>0</v>
      </c>
      <c r="BX81" s="18">
        <v>0.79131693162289629</v>
      </c>
      <c r="BY81" s="18"/>
      <c r="BZ81" s="18">
        <v>0</v>
      </c>
      <c r="CA81" s="18">
        <v>0</v>
      </c>
      <c r="CB81" s="18">
        <v>4.0921772387692723</v>
      </c>
      <c r="CC81" s="18">
        <v>0.79131693162289629</v>
      </c>
      <c r="CD81" s="599">
        <v>5.1713505363479415</v>
      </c>
      <c r="CE81" s="18">
        <v>-8.3537610030291134</v>
      </c>
      <c r="CF81" s="18">
        <v>4.9891616218967767E-2</v>
      </c>
      <c r="CG81" s="18">
        <v>0</v>
      </c>
      <c r="CH81" s="18">
        <v>4.9891616218967767E-2</v>
      </c>
      <c r="CI81" s="18">
        <v>2.4945528051095373E-3</v>
      </c>
      <c r="CJ81" s="18">
        <v>0</v>
      </c>
      <c r="CK81" s="18">
        <v>2.4945528051095373E-3</v>
      </c>
      <c r="CL81" s="18"/>
      <c r="CM81" s="18">
        <v>0</v>
      </c>
      <c r="CN81" s="18"/>
      <c r="CO81" s="18">
        <v>0</v>
      </c>
      <c r="CP81" s="18">
        <v>0</v>
      </c>
      <c r="CQ81" s="18">
        <v>0</v>
      </c>
      <c r="CR81" s="18">
        <v>0</v>
      </c>
      <c r="CS81" s="18">
        <v>0</v>
      </c>
      <c r="CT81" s="18">
        <v>0</v>
      </c>
      <c r="CU81" s="18">
        <v>0</v>
      </c>
      <c r="CV81" s="18">
        <v>9999</v>
      </c>
      <c r="CW81" s="599">
        <v>9999</v>
      </c>
    </row>
    <row r="82" spans="1:101">
      <c r="A82" t="s">
        <v>567</v>
      </c>
      <c r="B82" t="s">
        <v>64</v>
      </c>
      <c r="C82" s="18">
        <v>15</v>
      </c>
      <c r="D82" s="18">
        <v>5.173293534972041</v>
      </c>
      <c r="E82" s="18">
        <v>0</v>
      </c>
      <c r="F82" s="18">
        <v>0.63250552514432767</v>
      </c>
      <c r="G82" s="18">
        <v>0</v>
      </c>
      <c r="H82" s="18">
        <v>0</v>
      </c>
      <c r="I82" s="18" t="s">
        <v>788</v>
      </c>
      <c r="J82" s="18"/>
      <c r="K82" s="18"/>
      <c r="L82" s="18">
        <v>5.5575439658943351</v>
      </c>
      <c r="M82" s="18">
        <v>1.9029775194882078E-3</v>
      </c>
      <c r="N82" s="18">
        <v>1.8892426811305896E-3</v>
      </c>
      <c r="O82" s="18">
        <v>0</v>
      </c>
      <c r="P82" s="18">
        <v>0</v>
      </c>
      <c r="Q82" s="18">
        <v>0</v>
      </c>
      <c r="R82" s="18">
        <v>0.12613005104021052</v>
      </c>
      <c r="S82" s="18">
        <v>0.2914673636814582</v>
      </c>
      <c r="T82" s="18">
        <v>0</v>
      </c>
      <c r="U82" s="18">
        <v>0.42306514124487105</v>
      </c>
      <c r="V82" s="18" t="s">
        <v>773</v>
      </c>
      <c r="W82" s="18" t="s">
        <v>773</v>
      </c>
      <c r="X82" s="18" t="s">
        <v>773</v>
      </c>
      <c r="Y82" s="18" t="s">
        <v>773</v>
      </c>
      <c r="Z82" s="18">
        <v>0</v>
      </c>
      <c r="AA82" s="18">
        <v>0</v>
      </c>
      <c r="AB82" s="18">
        <v>0</v>
      </c>
      <c r="AC82" s="18">
        <v>0</v>
      </c>
      <c r="AD82" s="18">
        <v>0</v>
      </c>
      <c r="AE82" s="18">
        <v>0</v>
      </c>
      <c r="AF82" s="18">
        <v>0</v>
      </c>
      <c r="AG82" s="18">
        <v>0</v>
      </c>
      <c r="AH82" s="18">
        <v>0.12613005104021052</v>
      </c>
      <c r="AI82" s="18">
        <v>0.2914673636814582</v>
      </c>
      <c r="AJ82" s="18">
        <v>0</v>
      </c>
      <c r="AK82" s="18">
        <v>0.42306514124487105</v>
      </c>
      <c r="AL82" s="18">
        <v>0.84066255596653972</v>
      </c>
      <c r="AM82" s="18">
        <v>2.862149684966889</v>
      </c>
      <c r="AN82" s="18">
        <v>0.67241422344152801</v>
      </c>
      <c r="AO82" s="18">
        <v>0</v>
      </c>
      <c r="AP82" s="18">
        <v>0</v>
      </c>
      <c r="AQ82" s="18">
        <v>3.5345639084084173</v>
      </c>
      <c r="AR82" s="18">
        <v>0.12613005104021052</v>
      </c>
      <c r="AS82" s="599">
        <v>28.02317036470231</v>
      </c>
      <c r="AT82" s="18">
        <v>2.862149684966889</v>
      </c>
      <c r="AU82" s="18">
        <v>0.79593816202359946</v>
      </c>
      <c r="AV82" s="18">
        <v>0</v>
      </c>
      <c r="AW82" s="18">
        <v>0</v>
      </c>
      <c r="AX82" s="18">
        <v>3.6580878469904885</v>
      </c>
      <c r="AY82" s="18">
        <v>0.2914673636814582</v>
      </c>
      <c r="AZ82" s="599">
        <v>12.550591602387348</v>
      </c>
      <c r="BA82" s="18">
        <v>2.862149684966889</v>
      </c>
      <c r="BB82" s="18">
        <v>1.4683523854651275</v>
      </c>
      <c r="BC82" s="18">
        <v>0</v>
      </c>
      <c r="BD82" s="18">
        <v>0</v>
      </c>
      <c r="BE82" s="18">
        <v>4.3305020704320167</v>
      </c>
      <c r="BF82" s="18">
        <v>0.41759741472166872</v>
      </c>
      <c r="BG82" s="18">
        <v>-13.911970897268274</v>
      </c>
      <c r="BH82" s="599">
        <v>10.370040421151369</v>
      </c>
      <c r="BI82" s="18">
        <v>1.6699588849918312</v>
      </c>
      <c r="BJ82" s="18">
        <v>3.8590209839035365</v>
      </c>
      <c r="BK82" s="18">
        <v>0</v>
      </c>
      <c r="BL82" s="18">
        <v>5.6013724384124943</v>
      </c>
      <c r="BM82" s="18">
        <v>11.130352307307861</v>
      </c>
      <c r="BN82" s="18">
        <v>2.862149684966889</v>
      </c>
      <c r="BO82" s="18">
        <v>0</v>
      </c>
      <c r="BP82" s="18">
        <v>1.4683523854651275</v>
      </c>
      <c r="BQ82" s="18">
        <v>0</v>
      </c>
      <c r="BR82" s="18">
        <v>0</v>
      </c>
      <c r="BS82" s="18">
        <v>0</v>
      </c>
      <c r="BT82" s="18">
        <v>0</v>
      </c>
      <c r="BU82" s="18">
        <v>0</v>
      </c>
      <c r="BV82" s="18">
        <v>0</v>
      </c>
      <c r="BW82" s="18">
        <v>0</v>
      </c>
      <c r="BX82" s="18">
        <v>0.84066255596653972</v>
      </c>
      <c r="BY82" s="18"/>
      <c r="BZ82" s="18">
        <v>0</v>
      </c>
      <c r="CA82" s="18">
        <v>0</v>
      </c>
      <c r="CB82" s="18">
        <v>4.3305020704320167</v>
      </c>
      <c r="CC82" s="18">
        <v>0.84066255596653972</v>
      </c>
      <c r="CD82" s="599">
        <v>5.1512964859640791</v>
      </c>
      <c r="CE82" s="18">
        <v>-8.3105984588557842</v>
      </c>
      <c r="CF82" s="18">
        <v>5.2797260413485501E-2</v>
      </c>
      <c r="CG82" s="18">
        <v>0</v>
      </c>
      <c r="CH82" s="18">
        <v>5.2797260413485501E-2</v>
      </c>
      <c r="CI82" s="18">
        <v>2.6398333837998082E-3</v>
      </c>
      <c r="CJ82" s="18">
        <v>0</v>
      </c>
      <c r="CK82" s="18">
        <v>2.6398333837998082E-3</v>
      </c>
      <c r="CL82" s="18"/>
      <c r="CM82" s="18">
        <v>0</v>
      </c>
      <c r="CN82" s="18"/>
      <c r="CO82" s="18">
        <v>0</v>
      </c>
      <c r="CP82" s="18">
        <v>0</v>
      </c>
      <c r="CQ82" s="18">
        <v>0</v>
      </c>
      <c r="CR82" s="18">
        <v>0</v>
      </c>
      <c r="CS82" s="18">
        <v>0</v>
      </c>
      <c r="CT82" s="18">
        <v>0</v>
      </c>
      <c r="CU82" s="18">
        <v>0</v>
      </c>
      <c r="CV82" s="18">
        <v>9999</v>
      </c>
      <c r="CW82" s="599">
        <v>9999</v>
      </c>
    </row>
    <row r="83" spans="1:101">
      <c r="A83" t="s">
        <v>568</v>
      </c>
      <c r="B83" t="s">
        <v>56</v>
      </c>
      <c r="C83" s="18">
        <v>15</v>
      </c>
      <c r="D83" s="18">
        <v>4</v>
      </c>
      <c r="E83" s="18">
        <v>0</v>
      </c>
      <c r="F83" s="18">
        <v>0.45149651239206373</v>
      </c>
      <c r="G83" s="18">
        <v>0</v>
      </c>
      <c r="H83" s="18">
        <v>0</v>
      </c>
      <c r="I83" s="18" t="s">
        <v>788</v>
      </c>
      <c r="J83" s="18"/>
      <c r="K83" s="18"/>
      <c r="L83" s="18">
        <v>4.297103134260384</v>
      </c>
      <c r="M83" s="18">
        <v>1.4713856900822407E-3</v>
      </c>
      <c r="N83" s="18">
        <v>1.4607658880046906E-3</v>
      </c>
      <c r="O83" s="18">
        <v>0</v>
      </c>
      <c r="P83" s="18">
        <v>0</v>
      </c>
      <c r="Q83" s="18">
        <v>0</v>
      </c>
      <c r="R83" s="18">
        <v>9.003443588811906E-2</v>
      </c>
      <c r="S83" s="18">
        <v>0.20805588717704784</v>
      </c>
      <c r="T83" s="18">
        <v>0</v>
      </c>
      <c r="U83" s="18">
        <v>0.30199330787368073</v>
      </c>
      <c r="V83" s="18" t="s">
        <v>773</v>
      </c>
      <c r="W83" s="18" t="s">
        <v>773</v>
      </c>
      <c r="X83" s="18" t="s">
        <v>773</v>
      </c>
      <c r="Y83" s="18" t="s">
        <v>773</v>
      </c>
      <c r="Z83" s="18">
        <v>0</v>
      </c>
      <c r="AA83" s="18">
        <v>0</v>
      </c>
      <c r="AB83" s="18">
        <v>0</v>
      </c>
      <c r="AC83" s="18">
        <v>0</v>
      </c>
      <c r="AD83" s="18">
        <v>0</v>
      </c>
      <c r="AE83" s="18">
        <v>0</v>
      </c>
      <c r="AF83" s="18">
        <v>0</v>
      </c>
      <c r="AG83" s="18">
        <v>0</v>
      </c>
      <c r="AH83" s="18">
        <v>9.003443588811906E-2</v>
      </c>
      <c r="AI83" s="18">
        <v>0.20805588717704784</v>
      </c>
      <c r="AJ83" s="18">
        <v>0</v>
      </c>
      <c r="AK83" s="18">
        <v>0.30199330787368073</v>
      </c>
      <c r="AL83" s="18">
        <v>0.60008363093884765</v>
      </c>
      <c r="AM83" s="18">
        <v>2.2130193584558375</v>
      </c>
      <c r="AN83" s="18">
        <v>0.51991190439586132</v>
      </c>
      <c r="AO83" s="18">
        <v>0</v>
      </c>
      <c r="AP83" s="18">
        <v>0</v>
      </c>
      <c r="AQ83" s="18">
        <v>2.7329312628516989</v>
      </c>
      <c r="AR83" s="18">
        <v>9.003443588811906E-2</v>
      </c>
      <c r="AS83" s="599">
        <v>30.354288732899544</v>
      </c>
      <c r="AT83" s="18">
        <v>2.2130193584558375</v>
      </c>
      <c r="AU83" s="18">
        <v>0.61542083907898792</v>
      </c>
      <c r="AV83" s="18">
        <v>0</v>
      </c>
      <c r="AW83" s="18">
        <v>0</v>
      </c>
      <c r="AX83" s="18">
        <v>2.8284401975348255</v>
      </c>
      <c r="AY83" s="18">
        <v>0.20805588717704784</v>
      </c>
      <c r="AZ83" s="599">
        <v>13.594617465104113</v>
      </c>
      <c r="BA83" s="18">
        <v>2.2130193584558375</v>
      </c>
      <c r="BB83" s="18">
        <v>1.1353327434748492</v>
      </c>
      <c r="BC83" s="18">
        <v>0</v>
      </c>
      <c r="BD83" s="18">
        <v>0</v>
      </c>
      <c r="BE83" s="18">
        <v>3.3483521019306868</v>
      </c>
      <c r="BF83" s="18">
        <v>0.29809032306516692</v>
      </c>
      <c r="BG83" s="18">
        <v>-14.336579974528753</v>
      </c>
      <c r="BH83" s="599">
        <v>11.232676282479281</v>
      </c>
      <c r="BI83" s="18">
        <v>1.5417110493995141</v>
      </c>
      <c r="BJ83" s="18">
        <v>3.5626597422353714</v>
      </c>
      <c r="BK83" s="18">
        <v>0</v>
      </c>
      <c r="BL83" s="18">
        <v>5.17120382885635</v>
      </c>
      <c r="BM83" s="18">
        <v>10.275574620491234</v>
      </c>
      <c r="BN83" s="18">
        <v>2.2130193584558375</v>
      </c>
      <c r="BO83" s="18">
        <v>0</v>
      </c>
      <c r="BP83" s="18">
        <v>1.1353327434748492</v>
      </c>
      <c r="BQ83" s="18">
        <v>0</v>
      </c>
      <c r="BR83" s="18">
        <v>0</v>
      </c>
      <c r="BS83" s="18">
        <v>0</v>
      </c>
      <c r="BT83" s="18">
        <v>0</v>
      </c>
      <c r="BU83" s="18">
        <v>0</v>
      </c>
      <c r="BV83" s="18">
        <v>0</v>
      </c>
      <c r="BW83" s="18">
        <v>0</v>
      </c>
      <c r="BX83" s="18">
        <v>0.60008363093884765</v>
      </c>
      <c r="BY83" s="18"/>
      <c r="BZ83" s="18">
        <v>0</v>
      </c>
      <c r="CA83" s="18">
        <v>0</v>
      </c>
      <c r="CB83" s="18">
        <v>3.3483521019306868</v>
      </c>
      <c r="CC83" s="18">
        <v>0.60008363093884765</v>
      </c>
      <c r="CD83" s="599">
        <v>5.5798090954290753</v>
      </c>
      <c r="CE83" s="18">
        <v>-9.1653761456724023</v>
      </c>
      <c r="CF83" s="18">
        <v>4.0822938081181877E-2</v>
      </c>
      <c r="CG83" s="18">
        <v>0</v>
      </c>
      <c r="CH83" s="18">
        <v>4.0822938081181877E-2</v>
      </c>
      <c r="CI83" s="18">
        <v>2.0411239887736816E-3</v>
      </c>
      <c r="CJ83" s="18">
        <v>0</v>
      </c>
      <c r="CK83" s="18">
        <v>2.0411239887736816E-3</v>
      </c>
      <c r="CL83" s="18"/>
      <c r="CM83" s="18">
        <v>0</v>
      </c>
      <c r="CN83" s="18"/>
      <c r="CO83" s="18">
        <v>0</v>
      </c>
      <c r="CP83" s="18">
        <v>0</v>
      </c>
      <c r="CQ83" s="18">
        <v>0</v>
      </c>
      <c r="CR83" s="18">
        <v>0</v>
      </c>
      <c r="CS83" s="18">
        <v>0</v>
      </c>
      <c r="CT83" s="18">
        <v>0</v>
      </c>
      <c r="CU83" s="18">
        <v>0</v>
      </c>
      <c r="CV83" s="18">
        <v>9999</v>
      </c>
      <c r="CW83" s="599">
        <v>9999</v>
      </c>
    </row>
    <row r="84" spans="1:101">
      <c r="A84" t="s">
        <v>569</v>
      </c>
      <c r="B84" t="s">
        <v>139</v>
      </c>
      <c r="C84" s="18">
        <v>15</v>
      </c>
      <c r="D84" s="18">
        <v>2.8336615973578971</v>
      </c>
      <c r="E84" s="18">
        <v>0</v>
      </c>
      <c r="F84" s="18">
        <v>0.3776042842716732</v>
      </c>
      <c r="G84" s="18">
        <v>0</v>
      </c>
      <c r="H84" s="18">
        <v>0</v>
      </c>
      <c r="I84" s="18" t="s">
        <v>577</v>
      </c>
      <c r="J84" s="18"/>
      <c r="K84" s="18"/>
      <c r="L84" s="18">
        <v>3.0449198475183858</v>
      </c>
      <c r="M84" s="18">
        <v>5.3639795134547634E-4</v>
      </c>
      <c r="N84" s="18">
        <v>5.3252647147688115E-4</v>
      </c>
      <c r="O84" s="18">
        <v>0</v>
      </c>
      <c r="P84" s="18">
        <v>0</v>
      </c>
      <c r="Q84" s="18">
        <v>0</v>
      </c>
      <c r="R84" s="18">
        <v>7.5299338511423314E-2</v>
      </c>
      <c r="S84" s="18">
        <v>0.17400531833516353</v>
      </c>
      <c r="T84" s="18">
        <v>0</v>
      </c>
      <c r="U84" s="18">
        <v>0.2525688764910175</v>
      </c>
      <c r="V84" s="18" t="s">
        <v>773</v>
      </c>
      <c r="W84" s="18" t="s">
        <v>773</v>
      </c>
      <c r="X84" s="18" t="s">
        <v>773</v>
      </c>
      <c r="Y84" s="18" t="s">
        <v>773</v>
      </c>
      <c r="Z84" s="18">
        <v>0</v>
      </c>
      <c r="AA84" s="18">
        <v>0</v>
      </c>
      <c r="AB84" s="18">
        <v>0</v>
      </c>
      <c r="AC84" s="18">
        <v>0</v>
      </c>
      <c r="AD84" s="18">
        <v>0</v>
      </c>
      <c r="AE84" s="18">
        <v>0</v>
      </c>
      <c r="AF84" s="18">
        <v>0</v>
      </c>
      <c r="AG84" s="18">
        <v>0</v>
      </c>
      <c r="AH84" s="18">
        <v>7.5299338511423314E-2</v>
      </c>
      <c r="AI84" s="18">
        <v>0.17400531833516353</v>
      </c>
      <c r="AJ84" s="18">
        <v>0</v>
      </c>
      <c r="AK84" s="18">
        <v>0.2525688764910175</v>
      </c>
      <c r="AL84" s="18">
        <v>0.50187353333760432</v>
      </c>
      <c r="AM84" s="18">
        <v>1.577641528312353</v>
      </c>
      <c r="AN84" s="18">
        <v>0.18953540344848516</v>
      </c>
      <c r="AO84" s="18">
        <v>0</v>
      </c>
      <c r="AP84" s="18">
        <v>0</v>
      </c>
      <c r="AQ84" s="18">
        <v>1.7671769317608381</v>
      </c>
      <c r="AR84" s="18">
        <v>7.5299338511423314E-2</v>
      </c>
      <c r="AS84" s="599">
        <v>23.468691315166705</v>
      </c>
      <c r="AT84" s="18">
        <v>1.577641528312353</v>
      </c>
      <c r="AU84" s="18">
        <v>0.22435346457585315</v>
      </c>
      <c r="AV84" s="18">
        <v>0</v>
      </c>
      <c r="AW84" s="18">
        <v>0</v>
      </c>
      <c r="AX84" s="18">
        <v>1.8019949928882062</v>
      </c>
      <c r="AY84" s="18">
        <v>0.17400531833516353</v>
      </c>
      <c r="AZ84" s="599">
        <v>10.355976530655578</v>
      </c>
      <c r="BA84" s="18">
        <v>1.577641528312353</v>
      </c>
      <c r="BB84" s="18">
        <v>0.41388886802433833</v>
      </c>
      <c r="BC84" s="18">
        <v>0</v>
      </c>
      <c r="BD84" s="18">
        <v>0</v>
      </c>
      <c r="BE84" s="18">
        <v>1.9915303963366913</v>
      </c>
      <c r="BF84" s="18">
        <v>0.24930465684658684</v>
      </c>
      <c r="BG84" s="18">
        <v>-3.9772456883505858</v>
      </c>
      <c r="BH84" s="599">
        <v>7.9883401358291026</v>
      </c>
      <c r="BI84" s="18">
        <v>1.8196397290306674</v>
      </c>
      <c r="BJ84" s="18">
        <v>4.2049106481494256</v>
      </c>
      <c r="BK84" s="18">
        <v>0</v>
      </c>
      <c r="BL84" s="18">
        <v>6.1034315980076475</v>
      </c>
      <c r="BM84" s="18">
        <v>12.127981975187739</v>
      </c>
      <c r="BN84" s="18">
        <v>1.577641528312353</v>
      </c>
      <c r="BO84" s="18">
        <v>0</v>
      </c>
      <c r="BP84" s="18">
        <v>0.41388886802433833</v>
      </c>
      <c r="BQ84" s="18">
        <v>0</v>
      </c>
      <c r="BR84" s="18">
        <v>0</v>
      </c>
      <c r="BS84" s="18">
        <v>0</v>
      </c>
      <c r="BT84" s="18">
        <v>0</v>
      </c>
      <c r="BU84" s="18">
        <v>0</v>
      </c>
      <c r="BV84" s="18">
        <v>0</v>
      </c>
      <c r="BW84" s="18">
        <v>0</v>
      </c>
      <c r="BX84" s="18">
        <v>0.50187353333760432</v>
      </c>
      <c r="BY84" s="18"/>
      <c r="BZ84" s="18">
        <v>0</v>
      </c>
      <c r="CA84" s="18">
        <v>0</v>
      </c>
      <c r="CB84" s="18">
        <v>1.9915303963366913</v>
      </c>
      <c r="CC84" s="18">
        <v>0.50187353333760432</v>
      </c>
      <c r="CD84" s="599">
        <v>3.9681917137419811</v>
      </c>
      <c r="CE84" s="18">
        <v>2.1261859096570599</v>
      </c>
      <c r="CF84" s="18">
        <v>2.8927027493569818E-2</v>
      </c>
      <c r="CG84" s="18">
        <v>0</v>
      </c>
      <c r="CH84" s="18">
        <v>2.8927027493569818E-2</v>
      </c>
      <c r="CI84" s="18">
        <v>1.446336927571233E-3</v>
      </c>
      <c r="CJ84" s="18">
        <v>0</v>
      </c>
      <c r="CK84" s="18">
        <v>1.446336927571233E-3</v>
      </c>
      <c r="CL84" s="18"/>
      <c r="CM84" s="18">
        <v>0</v>
      </c>
      <c r="CN84" s="18"/>
      <c r="CO84" s="18">
        <v>0</v>
      </c>
      <c r="CP84" s="18">
        <v>0</v>
      </c>
      <c r="CQ84" s="18">
        <v>0</v>
      </c>
      <c r="CR84" s="18">
        <v>0</v>
      </c>
      <c r="CS84" s="18">
        <v>0</v>
      </c>
      <c r="CT84" s="18">
        <v>0</v>
      </c>
      <c r="CU84" s="18">
        <v>0</v>
      </c>
      <c r="CV84" s="18">
        <v>9999</v>
      </c>
      <c r="CW84" s="599">
        <v>9999</v>
      </c>
    </row>
    <row r="85" spans="1:101">
      <c r="A85" t="s">
        <v>570</v>
      </c>
      <c r="B85" t="s">
        <v>137</v>
      </c>
      <c r="C85" s="18">
        <v>15</v>
      </c>
      <c r="D85" s="18">
        <v>6.9735697018533438</v>
      </c>
      <c r="E85" s="18">
        <v>0</v>
      </c>
      <c r="F85" s="18">
        <v>0.92996697553610974</v>
      </c>
      <c r="G85" s="18">
        <v>0</v>
      </c>
      <c r="H85" s="18">
        <v>0</v>
      </c>
      <c r="I85" s="18" t="s">
        <v>788</v>
      </c>
      <c r="J85" s="18"/>
      <c r="K85" s="18"/>
      <c r="L85" s="18">
        <v>7.4915370557043142</v>
      </c>
      <c r="M85" s="18">
        <v>2.5652026670245219E-3</v>
      </c>
      <c r="N85" s="18">
        <v>2.5466881845226013E-3</v>
      </c>
      <c r="O85" s="18">
        <v>0</v>
      </c>
      <c r="P85" s="18">
        <v>0</v>
      </c>
      <c r="Q85" s="18">
        <v>0</v>
      </c>
      <c r="R85" s="18">
        <v>0.18544783788776309</v>
      </c>
      <c r="S85" s="18">
        <v>0.42854174690170277</v>
      </c>
      <c r="T85" s="18">
        <v>0</v>
      </c>
      <c r="U85" s="18">
        <v>0.62202873211024334</v>
      </c>
      <c r="V85" s="18" t="s">
        <v>773</v>
      </c>
      <c r="W85" s="18" t="s">
        <v>773</v>
      </c>
      <c r="X85" s="18" t="s">
        <v>773</v>
      </c>
      <c r="Y85" s="18" t="s">
        <v>773</v>
      </c>
      <c r="Z85" s="18">
        <v>0</v>
      </c>
      <c r="AA85" s="18">
        <v>0</v>
      </c>
      <c r="AB85" s="18">
        <v>0</v>
      </c>
      <c r="AC85" s="18">
        <v>0</v>
      </c>
      <c r="AD85" s="18">
        <v>0</v>
      </c>
      <c r="AE85" s="18">
        <v>0</v>
      </c>
      <c r="AF85" s="18">
        <v>0</v>
      </c>
      <c r="AG85" s="18">
        <v>0</v>
      </c>
      <c r="AH85" s="18">
        <v>0.18544783788776309</v>
      </c>
      <c r="AI85" s="18">
        <v>0.42854174690170277</v>
      </c>
      <c r="AJ85" s="18">
        <v>0</v>
      </c>
      <c r="AK85" s="18">
        <v>0.62202873211024334</v>
      </c>
      <c r="AL85" s="18">
        <v>1.2360183168997092</v>
      </c>
      <c r="AM85" s="18">
        <v>3.8581611869356314</v>
      </c>
      <c r="AN85" s="18">
        <v>0.90641047603196301</v>
      </c>
      <c r="AO85" s="18">
        <v>0</v>
      </c>
      <c r="AP85" s="18">
        <v>0</v>
      </c>
      <c r="AQ85" s="18">
        <v>4.7645716629675947</v>
      </c>
      <c r="AR85" s="18">
        <v>0.18544783788776309</v>
      </c>
      <c r="AS85" s="599">
        <v>25.692247034183342</v>
      </c>
      <c r="AT85" s="18">
        <v>3.8581611869356314</v>
      </c>
      <c r="AU85" s="18">
        <v>1.0729200293225984</v>
      </c>
      <c r="AV85" s="18">
        <v>0</v>
      </c>
      <c r="AW85" s="18">
        <v>0</v>
      </c>
      <c r="AX85" s="18">
        <v>4.9310812162582298</v>
      </c>
      <c r="AY85" s="18">
        <v>0.42854174690170277</v>
      </c>
      <c r="AZ85" s="599">
        <v>11.506653090181437</v>
      </c>
      <c r="BA85" s="18">
        <v>3.8581611869356314</v>
      </c>
      <c r="BB85" s="18">
        <v>1.9793305053545613</v>
      </c>
      <c r="BC85" s="18">
        <v>0</v>
      </c>
      <c r="BD85" s="18">
        <v>0</v>
      </c>
      <c r="BE85" s="18">
        <v>5.8374916922901932</v>
      </c>
      <c r="BF85" s="18">
        <v>0.61398958478946586</v>
      </c>
      <c r="BG85" s="18">
        <v>-13.410355442877277</v>
      </c>
      <c r="BH85" s="599">
        <v>9.5074767339772404</v>
      </c>
      <c r="BI85" s="18">
        <v>1.8214655290333521</v>
      </c>
      <c r="BJ85" s="18">
        <v>4.2091297942530161</v>
      </c>
      <c r="BK85" s="18">
        <v>0</v>
      </c>
      <c r="BL85" s="18">
        <v>6.1095556923820666</v>
      </c>
      <c r="BM85" s="18">
        <v>12.140151015668433</v>
      </c>
      <c r="BN85" s="18">
        <v>3.8581611869356314</v>
      </c>
      <c r="BO85" s="18">
        <v>0</v>
      </c>
      <c r="BP85" s="18">
        <v>1.9793305053545613</v>
      </c>
      <c r="BQ85" s="18">
        <v>0</v>
      </c>
      <c r="BR85" s="18">
        <v>0</v>
      </c>
      <c r="BS85" s="18">
        <v>0</v>
      </c>
      <c r="BT85" s="18">
        <v>0</v>
      </c>
      <c r="BU85" s="18">
        <v>0</v>
      </c>
      <c r="BV85" s="18">
        <v>0</v>
      </c>
      <c r="BW85" s="18">
        <v>0</v>
      </c>
      <c r="BX85" s="18">
        <v>1.2360183168997092</v>
      </c>
      <c r="BY85" s="18"/>
      <c r="BZ85" s="18">
        <v>0</v>
      </c>
      <c r="CA85" s="18">
        <v>0</v>
      </c>
      <c r="CB85" s="18">
        <v>5.8374916922901932</v>
      </c>
      <c r="CC85" s="18">
        <v>1.2360183168997092</v>
      </c>
      <c r="CD85" s="599">
        <v>4.7228197288631675</v>
      </c>
      <c r="CE85" s="18">
        <v>-7.3007997504952051</v>
      </c>
      <c r="CF85" s="18">
        <v>7.1170401035891229E-2</v>
      </c>
      <c r="CG85" s="18">
        <v>0</v>
      </c>
      <c r="CH85" s="18">
        <v>7.1170401035891229E-2</v>
      </c>
      <c r="CI85" s="18">
        <v>3.5584801014595471E-3</v>
      </c>
      <c r="CJ85" s="18">
        <v>0</v>
      </c>
      <c r="CK85" s="18">
        <v>3.5584801014595471E-3</v>
      </c>
      <c r="CL85" s="18"/>
      <c r="CM85" s="18">
        <v>0</v>
      </c>
      <c r="CN85" s="18"/>
      <c r="CO85" s="18">
        <v>0</v>
      </c>
      <c r="CP85" s="18">
        <v>0</v>
      </c>
      <c r="CQ85" s="18">
        <v>0</v>
      </c>
      <c r="CR85" s="18">
        <v>0</v>
      </c>
      <c r="CS85" s="18">
        <v>0</v>
      </c>
      <c r="CT85" s="18">
        <v>0</v>
      </c>
      <c r="CU85" s="18">
        <v>0</v>
      </c>
      <c r="CV85" s="18">
        <v>9999</v>
      </c>
      <c r="CW85" s="599">
        <v>9999</v>
      </c>
    </row>
    <row r="86" spans="1:101">
      <c r="A86" t="s">
        <v>571</v>
      </c>
      <c r="B86" t="s">
        <v>138</v>
      </c>
      <c r="C86" s="18">
        <v>15</v>
      </c>
      <c r="D86" s="18">
        <v>3.8581788879935535</v>
      </c>
      <c r="E86" s="18">
        <v>0</v>
      </c>
      <c r="F86" s="18">
        <v>0.51447889576687988</v>
      </c>
      <c r="G86" s="18">
        <v>0</v>
      </c>
      <c r="H86" s="18">
        <v>0</v>
      </c>
      <c r="I86" s="18" t="s">
        <v>788</v>
      </c>
      <c r="J86" s="18"/>
      <c r="K86" s="18"/>
      <c r="L86" s="18">
        <v>4.1447481480335853</v>
      </c>
      <c r="M86" s="18">
        <v>1.4192173013927816E-3</v>
      </c>
      <c r="N86" s="18">
        <v>1.4089740273502131E-3</v>
      </c>
      <c r="O86" s="18">
        <v>0</v>
      </c>
      <c r="P86" s="18">
        <v>0</v>
      </c>
      <c r="Q86" s="18">
        <v>0</v>
      </c>
      <c r="R86" s="18">
        <v>0.10259396448336253</v>
      </c>
      <c r="S86" s="18">
        <v>0.23707904746713973</v>
      </c>
      <c r="T86" s="18">
        <v>0</v>
      </c>
      <c r="U86" s="18">
        <v>0.34412045120942492</v>
      </c>
      <c r="V86" s="18" t="s">
        <v>773</v>
      </c>
      <c r="W86" s="18" t="s">
        <v>773</v>
      </c>
      <c r="X86" s="18" t="s">
        <v>773</v>
      </c>
      <c r="Y86" s="18" t="s">
        <v>773</v>
      </c>
      <c r="Z86" s="18">
        <v>0</v>
      </c>
      <c r="AA86" s="18">
        <v>0</v>
      </c>
      <c r="AB86" s="18">
        <v>0</v>
      </c>
      <c r="AC86" s="18">
        <v>0</v>
      </c>
      <c r="AD86" s="18">
        <v>0</v>
      </c>
      <c r="AE86" s="18">
        <v>0</v>
      </c>
      <c r="AF86" s="18">
        <v>0</v>
      </c>
      <c r="AG86" s="18">
        <v>0</v>
      </c>
      <c r="AH86" s="18">
        <v>0.10259396448336253</v>
      </c>
      <c r="AI86" s="18">
        <v>0.23707904746713973</v>
      </c>
      <c r="AJ86" s="18">
        <v>0</v>
      </c>
      <c r="AK86" s="18">
        <v>0.34412045120942492</v>
      </c>
      <c r="AL86" s="18">
        <v>0.68379346315992717</v>
      </c>
      <c r="AM86" s="18">
        <v>2.1345561418788366</v>
      </c>
      <c r="AN86" s="18">
        <v>0.50147828328915889</v>
      </c>
      <c r="AO86" s="18">
        <v>0</v>
      </c>
      <c r="AP86" s="18">
        <v>0</v>
      </c>
      <c r="AQ86" s="18">
        <v>2.6360344251679955</v>
      </c>
      <c r="AR86" s="18">
        <v>0.10259396448336253</v>
      </c>
      <c r="AS86" s="599">
        <v>25.693854784171794</v>
      </c>
      <c r="AT86" s="18">
        <v>2.1345561418788366</v>
      </c>
      <c r="AU86" s="18">
        <v>0.59360092214145754</v>
      </c>
      <c r="AV86" s="18">
        <v>0</v>
      </c>
      <c r="AW86" s="18">
        <v>0</v>
      </c>
      <c r="AX86" s="18">
        <v>2.7281570640202943</v>
      </c>
      <c r="AY86" s="18">
        <v>0.23707904746713973</v>
      </c>
      <c r="AZ86" s="599">
        <v>11.507373144809137</v>
      </c>
      <c r="BA86" s="18">
        <v>2.1345561418788366</v>
      </c>
      <c r="BB86" s="18">
        <v>1.0950792054306164</v>
      </c>
      <c r="BC86" s="18">
        <v>0</v>
      </c>
      <c r="BD86" s="18">
        <v>0</v>
      </c>
      <c r="BE86" s="18">
        <v>3.2296353473094532</v>
      </c>
      <c r="BF86" s="18">
        <v>0.33967301195050226</v>
      </c>
      <c r="BG86" s="18">
        <v>-13.410732797293061</v>
      </c>
      <c r="BH86" s="599">
        <v>9.5080716856600933</v>
      </c>
      <c r="BI86" s="18">
        <v>1.8213515538743963</v>
      </c>
      <c r="BJ86" s="18">
        <v>4.2088664149961925</v>
      </c>
      <c r="BK86" s="18">
        <v>0</v>
      </c>
      <c r="BL86" s="18">
        <v>6.1091733971532571</v>
      </c>
      <c r="BM86" s="18">
        <v>12.139391366023846</v>
      </c>
      <c r="BN86" s="18">
        <v>2.1345561418788366</v>
      </c>
      <c r="BO86" s="18">
        <v>0</v>
      </c>
      <c r="BP86" s="18">
        <v>1.0950792054306164</v>
      </c>
      <c r="BQ86" s="18">
        <v>0</v>
      </c>
      <c r="BR86" s="18">
        <v>0</v>
      </c>
      <c r="BS86" s="18">
        <v>0</v>
      </c>
      <c r="BT86" s="18">
        <v>0</v>
      </c>
      <c r="BU86" s="18">
        <v>0</v>
      </c>
      <c r="BV86" s="18">
        <v>0</v>
      </c>
      <c r="BW86" s="18">
        <v>0</v>
      </c>
      <c r="BX86" s="18">
        <v>0.68379346315992717</v>
      </c>
      <c r="BY86" s="18"/>
      <c r="BZ86" s="18">
        <v>0</v>
      </c>
      <c r="CA86" s="18">
        <v>0</v>
      </c>
      <c r="CB86" s="18">
        <v>3.2296353473094532</v>
      </c>
      <c r="CC86" s="18">
        <v>0.68379346315992717</v>
      </c>
      <c r="CD86" s="599">
        <v>4.7231152699014594</v>
      </c>
      <c r="CE86" s="18">
        <v>-7.3015594001398068</v>
      </c>
      <c r="CF86" s="18">
        <v>3.9375549462670932E-2</v>
      </c>
      <c r="CG86" s="18">
        <v>0</v>
      </c>
      <c r="CH86" s="18">
        <v>3.9375549462670932E-2</v>
      </c>
      <c r="CI86" s="18">
        <v>1.9687553703159524E-3</v>
      </c>
      <c r="CJ86" s="18">
        <v>0</v>
      </c>
      <c r="CK86" s="18">
        <v>1.9687553703159524E-3</v>
      </c>
      <c r="CL86" s="18"/>
      <c r="CM86" s="18">
        <v>0</v>
      </c>
      <c r="CN86" s="18"/>
      <c r="CO86" s="18">
        <v>0</v>
      </c>
      <c r="CP86" s="18">
        <v>0</v>
      </c>
      <c r="CQ86" s="18">
        <v>0</v>
      </c>
      <c r="CR86" s="18">
        <v>0</v>
      </c>
      <c r="CS86" s="18">
        <v>0</v>
      </c>
      <c r="CT86" s="18">
        <v>0</v>
      </c>
      <c r="CU86" s="18">
        <v>0</v>
      </c>
      <c r="CV86" s="18">
        <v>9999</v>
      </c>
      <c r="CW86" s="599">
        <v>9999</v>
      </c>
    </row>
    <row r="87" spans="1:101">
      <c r="A87" t="s">
        <v>572</v>
      </c>
      <c r="B87" t="s">
        <v>139</v>
      </c>
      <c r="C87" s="18">
        <v>15</v>
      </c>
      <c r="D87" s="18">
        <v>0.5253004611929295</v>
      </c>
      <c r="E87" s="18">
        <v>0</v>
      </c>
      <c r="F87" s="18">
        <v>7.3963740963958288E-2</v>
      </c>
      <c r="G87" s="18">
        <v>0</v>
      </c>
      <c r="H87" s="18">
        <v>0</v>
      </c>
      <c r="I87" s="18" t="s">
        <v>577</v>
      </c>
      <c r="J87" s="18"/>
      <c r="K87" s="18"/>
      <c r="L87" s="18">
        <v>0.56446323784331998</v>
      </c>
      <c r="M87" s="18">
        <v>9.9436746959285252E-5</v>
      </c>
      <c r="N87" s="18">
        <v>9.8719057111503719E-5</v>
      </c>
      <c r="O87" s="18">
        <v>0</v>
      </c>
      <c r="P87" s="18">
        <v>0</v>
      </c>
      <c r="Q87" s="18">
        <v>0</v>
      </c>
      <c r="R87" s="18">
        <v>1.4749357993007618E-2</v>
      </c>
      <c r="S87" s="18">
        <v>3.4083522957153618E-2</v>
      </c>
      <c r="T87" s="18">
        <v>0</v>
      </c>
      <c r="U87" s="18">
        <v>4.9472264310696484E-2</v>
      </c>
      <c r="V87" s="18" t="s">
        <v>773</v>
      </c>
      <c r="W87" s="18" t="s">
        <v>773</v>
      </c>
      <c r="X87" s="18" t="s">
        <v>773</v>
      </c>
      <c r="Y87" s="18" t="s">
        <v>773</v>
      </c>
      <c r="Z87" s="18">
        <v>0</v>
      </c>
      <c r="AA87" s="18">
        <v>0</v>
      </c>
      <c r="AB87" s="18">
        <v>0</v>
      </c>
      <c r="AC87" s="18">
        <v>0</v>
      </c>
      <c r="AD87" s="18">
        <v>0</v>
      </c>
      <c r="AE87" s="18">
        <v>0</v>
      </c>
      <c r="AF87" s="18">
        <v>0</v>
      </c>
      <c r="AG87" s="18">
        <v>0</v>
      </c>
      <c r="AH87" s="18">
        <v>1.4749357993007618E-2</v>
      </c>
      <c r="AI87" s="18">
        <v>3.4083522957153618E-2</v>
      </c>
      <c r="AJ87" s="18">
        <v>0</v>
      </c>
      <c r="AK87" s="18">
        <v>4.9472264310696484E-2</v>
      </c>
      <c r="AL87" s="18">
        <v>9.8305145260857721E-2</v>
      </c>
      <c r="AM87" s="18">
        <v>0.29246111222042553</v>
      </c>
      <c r="AN87" s="18">
        <v>3.5135823888325146E-2</v>
      </c>
      <c r="AO87" s="18">
        <v>0</v>
      </c>
      <c r="AP87" s="18">
        <v>0</v>
      </c>
      <c r="AQ87" s="18">
        <v>0.32759693610875068</v>
      </c>
      <c r="AR87" s="18">
        <v>1.4749357993007618E-2</v>
      </c>
      <c r="AS87" s="599">
        <v>22.210928520689372</v>
      </c>
      <c r="AT87" s="18">
        <v>0.29246111222042553</v>
      </c>
      <c r="AU87" s="18">
        <v>4.1590350280997987E-2</v>
      </c>
      <c r="AV87" s="18">
        <v>0</v>
      </c>
      <c r="AW87" s="18">
        <v>0</v>
      </c>
      <c r="AX87" s="18">
        <v>0.33405146250142354</v>
      </c>
      <c r="AY87" s="18">
        <v>3.4083522957153618E-2</v>
      </c>
      <c r="AZ87" s="599">
        <v>9.8009663766670911</v>
      </c>
      <c r="BA87" s="18">
        <v>0.29246111222042553</v>
      </c>
      <c r="BB87" s="18">
        <v>7.6726174169323133E-2</v>
      </c>
      <c r="BC87" s="18">
        <v>0</v>
      </c>
      <c r="BD87" s="18">
        <v>0</v>
      </c>
      <c r="BE87" s="18">
        <v>0.36918728638974868</v>
      </c>
      <c r="BF87" s="18">
        <v>4.8832880950161237E-2</v>
      </c>
      <c r="BG87" s="18">
        <v>-3.636086816455014</v>
      </c>
      <c r="BH87" s="599">
        <v>7.5602192458507753</v>
      </c>
      <c r="BI87" s="18">
        <v>1.9226824788371759</v>
      </c>
      <c r="BJ87" s="18">
        <v>4.4430267702384905</v>
      </c>
      <c r="BK87" s="18">
        <v>0</v>
      </c>
      <c r="BL87" s="18">
        <v>6.4490573639660873</v>
      </c>
      <c r="BM87" s="18">
        <v>12.814766613041755</v>
      </c>
      <c r="BN87" s="18">
        <v>0.29246111222042553</v>
      </c>
      <c r="BO87" s="18">
        <v>0</v>
      </c>
      <c r="BP87" s="18">
        <v>7.6726174169323133E-2</v>
      </c>
      <c r="BQ87" s="18">
        <v>0</v>
      </c>
      <c r="BR87" s="18">
        <v>0</v>
      </c>
      <c r="BS87" s="18">
        <v>0</v>
      </c>
      <c r="BT87" s="18">
        <v>0</v>
      </c>
      <c r="BU87" s="18">
        <v>0</v>
      </c>
      <c r="BV87" s="18">
        <v>0</v>
      </c>
      <c r="BW87" s="18">
        <v>0</v>
      </c>
      <c r="BX87" s="18">
        <v>9.8305145260857721E-2</v>
      </c>
      <c r="BY87" s="18"/>
      <c r="BZ87" s="18">
        <v>0</v>
      </c>
      <c r="CA87" s="18">
        <v>0</v>
      </c>
      <c r="CB87" s="18">
        <v>0.36918728638974868</v>
      </c>
      <c r="CC87" s="18">
        <v>9.8305145260857721E-2</v>
      </c>
      <c r="CD87" s="599">
        <v>3.7555235324671092</v>
      </c>
      <c r="CE87" s="18">
        <v>2.8129705475110702</v>
      </c>
      <c r="CF87" s="18">
        <v>5.3624543232264994E-3</v>
      </c>
      <c r="CG87" s="18">
        <v>0</v>
      </c>
      <c r="CH87" s="18">
        <v>5.3624543232264994E-3</v>
      </c>
      <c r="CI87" s="18">
        <v>2.6812003797557689E-4</v>
      </c>
      <c r="CJ87" s="18">
        <v>0</v>
      </c>
      <c r="CK87" s="18">
        <v>2.6812003797557689E-4</v>
      </c>
      <c r="CL87" s="18"/>
      <c r="CM87" s="18">
        <v>0</v>
      </c>
      <c r="CN87" s="18"/>
      <c r="CO87" s="18">
        <v>0</v>
      </c>
      <c r="CP87" s="18">
        <v>0</v>
      </c>
      <c r="CQ87" s="18">
        <v>0</v>
      </c>
      <c r="CR87" s="18">
        <v>0</v>
      </c>
      <c r="CS87" s="18">
        <v>0</v>
      </c>
      <c r="CT87" s="18">
        <v>0</v>
      </c>
      <c r="CU87" s="18">
        <v>0</v>
      </c>
      <c r="CV87" s="18">
        <v>9999</v>
      </c>
      <c r="CW87" s="599">
        <v>9999</v>
      </c>
    </row>
    <row r="88" spans="1:101">
      <c r="A88" t="s">
        <v>573</v>
      </c>
      <c r="B88" t="s">
        <v>137</v>
      </c>
      <c r="C88" s="18">
        <v>15</v>
      </c>
      <c r="D88" s="18">
        <v>4.8885865216023019</v>
      </c>
      <c r="E88" s="18">
        <v>0</v>
      </c>
      <c r="F88" s="18">
        <v>0.59537840461596525</v>
      </c>
      <c r="G88" s="18">
        <v>0</v>
      </c>
      <c r="H88" s="18">
        <v>0</v>
      </c>
      <c r="I88" s="18" t="s">
        <v>788</v>
      </c>
      <c r="J88" s="18"/>
      <c r="K88" s="18"/>
      <c r="L88" s="18">
        <v>5.2516901160200797</v>
      </c>
      <c r="M88" s="18">
        <v>1.7982490631536358E-3</v>
      </c>
      <c r="N88" s="18">
        <v>1.785270107829037E-3</v>
      </c>
      <c r="O88" s="18">
        <v>0</v>
      </c>
      <c r="P88" s="18">
        <v>0</v>
      </c>
      <c r="Q88" s="18">
        <v>0</v>
      </c>
      <c r="R88" s="18">
        <v>0.11872640724413483</v>
      </c>
      <c r="S88" s="18">
        <v>0.27435866895659194</v>
      </c>
      <c r="T88" s="18">
        <v>0</v>
      </c>
      <c r="U88" s="18">
        <v>0.39823185542216949</v>
      </c>
      <c r="V88" s="18" t="s">
        <v>773</v>
      </c>
      <c r="W88" s="18" t="s">
        <v>773</v>
      </c>
      <c r="X88" s="18" t="s">
        <v>773</v>
      </c>
      <c r="Y88" s="18" t="s">
        <v>773</v>
      </c>
      <c r="Z88" s="18">
        <v>0</v>
      </c>
      <c r="AA88" s="18">
        <v>0</v>
      </c>
      <c r="AB88" s="18">
        <v>0</v>
      </c>
      <c r="AC88" s="18">
        <v>0</v>
      </c>
      <c r="AD88" s="18">
        <v>0</v>
      </c>
      <c r="AE88" s="18">
        <v>0</v>
      </c>
      <c r="AF88" s="18">
        <v>0</v>
      </c>
      <c r="AG88" s="18">
        <v>0</v>
      </c>
      <c r="AH88" s="18">
        <v>0.11872640724413483</v>
      </c>
      <c r="AI88" s="18">
        <v>0.27435866895659194</v>
      </c>
      <c r="AJ88" s="18">
        <v>0</v>
      </c>
      <c r="AK88" s="18">
        <v>0.39823185542216949</v>
      </c>
      <c r="AL88" s="18">
        <v>0.79131693162289629</v>
      </c>
      <c r="AM88" s="18">
        <v>2.7046341519480439</v>
      </c>
      <c r="AN88" s="18">
        <v>0.63540858206254824</v>
      </c>
      <c r="AO88" s="18">
        <v>0</v>
      </c>
      <c r="AP88" s="18">
        <v>0</v>
      </c>
      <c r="AQ88" s="18">
        <v>3.3400427340105923</v>
      </c>
      <c r="AR88" s="18">
        <v>0.11872640724413483</v>
      </c>
      <c r="AS88" s="599">
        <v>28.132264856145497</v>
      </c>
      <c r="AT88" s="18">
        <v>2.7046341519480439</v>
      </c>
      <c r="AU88" s="18">
        <v>0.75213450475867993</v>
      </c>
      <c r="AV88" s="18">
        <v>0</v>
      </c>
      <c r="AW88" s="18">
        <v>0</v>
      </c>
      <c r="AX88" s="18">
        <v>3.456768656706724</v>
      </c>
      <c r="AY88" s="18">
        <v>0.27435866895659194</v>
      </c>
      <c r="AZ88" s="599">
        <v>12.599451185023943</v>
      </c>
      <c r="BA88" s="18">
        <v>2.7046341519480439</v>
      </c>
      <c r="BB88" s="18">
        <v>1.3875430868212282</v>
      </c>
      <c r="BC88" s="18">
        <v>0</v>
      </c>
      <c r="BD88" s="18">
        <v>0</v>
      </c>
      <c r="BE88" s="18">
        <v>4.0921772387692723</v>
      </c>
      <c r="BF88" s="18">
        <v>0.39308507620072675</v>
      </c>
      <c r="BG88" s="18">
        <v>-13.933411803291348</v>
      </c>
      <c r="BH88" s="599">
        <v>10.410411095535014</v>
      </c>
      <c r="BI88" s="18">
        <v>1.6634829287820909</v>
      </c>
      <c r="BJ88" s="18">
        <v>3.8440560340902064</v>
      </c>
      <c r="BK88" s="18">
        <v>0</v>
      </c>
      <c r="BL88" s="18">
        <v>5.5796508002622325</v>
      </c>
      <c r="BM88" s="18">
        <v>11.08718976313453</v>
      </c>
      <c r="BN88" s="18">
        <v>2.7046341519480439</v>
      </c>
      <c r="BO88" s="18">
        <v>0</v>
      </c>
      <c r="BP88" s="18">
        <v>1.3875430868212282</v>
      </c>
      <c r="BQ88" s="18">
        <v>0</v>
      </c>
      <c r="BR88" s="18">
        <v>0</v>
      </c>
      <c r="BS88" s="18">
        <v>0</v>
      </c>
      <c r="BT88" s="18">
        <v>0</v>
      </c>
      <c r="BU88" s="18">
        <v>0</v>
      </c>
      <c r="BV88" s="18">
        <v>0</v>
      </c>
      <c r="BW88" s="18">
        <v>0</v>
      </c>
      <c r="BX88" s="18">
        <v>0.79131693162289629</v>
      </c>
      <c r="BY88" s="18"/>
      <c r="BZ88" s="18">
        <v>0</v>
      </c>
      <c r="CA88" s="18">
        <v>0</v>
      </c>
      <c r="CB88" s="18">
        <v>4.0921772387692723</v>
      </c>
      <c r="CC88" s="18">
        <v>0.79131693162289629</v>
      </c>
      <c r="CD88" s="599">
        <v>5.1713505363479415</v>
      </c>
      <c r="CE88" s="18">
        <v>-8.3537610030291134</v>
      </c>
      <c r="CF88" s="18">
        <v>4.9891616218967767E-2</v>
      </c>
      <c r="CG88" s="18">
        <v>0</v>
      </c>
      <c r="CH88" s="18">
        <v>4.9891616218967767E-2</v>
      </c>
      <c r="CI88" s="18">
        <v>2.4945528051095373E-3</v>
      </c>
      <c r="CJ88" s="18">
        <v>0</v>
      </c>
      <c r="CK88" s="18">
        <v>2.4945528051095373E-3</v>
      </c>
      <c r="CL88" s="18"/>
      <c r="CM88" s="18">
        <v>0</v>
      </c>
      <c r="CN88" s="18"/>
      <c r="CO88" s="18">
        <v>0</v>
      </c>
      <c r="CP88" s="18">
        <v>0</v>
      </c>
      <c r="CQ88" s="18">
        <v>0</v>
      </c>
      <c r="CR88" s="18">
        <v>0</v>
      </c>
      <c r="CS88" s="18">
        <v>0</v>
      </c>
      <c r="CT88" s="18">
        <v>0</v>
      </c>
      <c r="CU88" s="18">
        <v>0</v>
      </c>
      <c r="CV88" s="18">
        <v>9999</v>
      </c>
      <c r="CW88" s="599">
        <v>9999</v>
      </c>
    </row>
    <row r="89" spans="1:101">
      <c r="A89" t="s">
        <v>574</v>
      </c>
      <c r="B89" t="s">
        <v>64</v>
      </c>
      <c r="C89" s="18">
        <v>15</v>
      </c>
      <c r="D89" s="18">
        <v>5.173293534972041</v>
      </c>
      <c r="E89" s="18">
        <v>0</v>
      </c>
      <c r="F89" s="18">
        <v>0.63250552514432767</v>
      </c>
      <c r="G89" s="18">
        <v>0</v>
      </c>
      <c r="H89" s="18">
        <v>0</v>
      </c>
      <c r="I89" s="18" t="s">
        <v>788</v>
      </c>
      <c r="J89" s="18"/>
      <c r="K89" s="18"/>
      <c r="L89" s="18">
        <v>5.5575439658943351</v>
      </c>
      <c r="M89" s="18">
        <v>1.9029775194882078E-3</v>
      </c>
      <c r="N89" s="18">
        <v>1.8892426811305896E-3</v>
      </c>
      <c r="O89" s="18">
        <v>0</v>
      </c>
      <c r="P89" s="18">
        <v>0</v>
      </c>
      <c r="Q89" s="18">
        <v>0</v>
      </c>
      <c r="R89" s="18">
        <v>0.12613005104021052</v>
      </c>
      <c r="S89" s="18">
        <v>0.2914673636814582</v>
      </c>
      <c r="T89" s="18">
        <v>0</v>
      </c>
      <c r="U89" s="18">
        <v>0.42306514124487105</v>
      </c>
      <c r="V89" s="18" t="s">
        <v>773</v>
      </c>
      <c r="W89" s="18" t="s">
        <v>773</v>
      </c>
      <c r="X89" s="18" t="s">
        <v>773</v>
      </c>
      <c r="Y89" s="18" t="s">
        <v>773</v>
      </c>
      <c r="Z89" s="18">
        <v>0</v>
      </c>
      <c r="AA89" s="18">
        <v>0</v>
      </c>
      <c r="AB89" s="18">
        <v>0</v>
      </c>
      <c r="AC89" s="18">
        <v>0</v>
      </c>
      <c r="AD89" s="18">
        <v>0</v>
      </c>
      <c r="AE89" s="18">
        <v>0</v>
      </c>
      <c r="AF89" s="18">
        <v>0</v>
      </c>
      <c r="AG89" s="18">
        <v>0</v>
      </c>
      <c r="AH89" s="18">
        <v>0.12613005104021052</v>
      </c>
      <c r="AI89" s="18">
        <v>0.2914673636814582</v>
      </c>
      <c r="AJ89" s="18">
        <v>0</v>
      </c>
      <c r="AK89" s="18">
        <v>0.42306514124487105</v>
      </c>
      <c r="AL89" s="18">
        <v>0.84066255596653972</v>
      </c>
      <c r="AM89" s="18">
        <v>2.862149684966889</v>
      </c>
      <c r="AN89" s="18">
        <v>0.67241422344152801</v>
      </c>
      <c r="AO89" s="18">
        <v>0</v>
      </c>
      <c r="AP89" s="18">
        <v>0</v>
      </c>
      <c r="AQ89" s="18">
        <v>3.5345639084084173</v>
      </c>
      <c r="AR89" s="18">
        <v>0.12613005104021052</v>
      </c>
      <c r="AS89" s="599">
        <v>28.02317036470231</v>
      </c>
      <c r="AT89" s="18">
        <v>2.862149684966889</v>
      </c>
      <c r="AU89" s="18">
        <v>0.79593816202359946</v>
      </c>
      <c r="AV89" s="18">
        <v>0</v>
      </c>
      <c r="AW89" s="18">
        <v>0</v>
      </c>
      <c r="AX89" s="18">
        <v>3.6580878469904885</v>
      </c>
      <c r="AY89" s="18">
        <v>0.2914673636814582</v>
      </c>
      <c r="AZ89" s="599">
        <v>12.550591602387348</v>
      </c>
      <c r="BA89" s="18">
        <v>2.862149684966889</v>
      </c>
      <c r="BB89" s="18">
        <v>1.4683523854651275</v>
      </c>
      <c r="BC89" s="18">
        <v>0</v>
      </c>
      <c r="BD89" s="18">
        <v>0</v>
      </c>
      <c r="BE89" s="18">
        <v>4.3305020704320167</v>
      </c>
      <c r="BF89" s="18">
        <v>0.41759741472166872</v>
      </c>
      <c r="BG89" s="18">
        <v>-13.911970897268274</v>
      </c>
      <c r="BH89" s="599">
        <v>10.370040421151369</v>
      </c>
      <c r="BI89" s="18">
        <v>1.6699588849918312</v>
      </c>
      <c r="BJ89" s="18">
        <v>3.8590209839035365</v>
      </c>
      <c r="BK89" s="18">
        <v>0</v>
      </c>
      <c r="BL89" s="18">
        <v>5.6013724384124943</v>
      </c>
      <c r="BM89" s="18">
        <v>11.130352307307861</v>
      </c>
      <c r="BN89" s="18">
        <v>2.862149684966889</v>
      </c>
      <c r="BO89" s="18">
        <v>0</v>
      </c>
      <c r="BP89" s="18">
        <v>1.4683523854651275</v>
      </c>
      <c r="BQ89" s="18">
        <v>0</v>
      </c>
      <c r="BR89" s="18">
        <v>0</v>
      </c>
      <c r="BS89" s="18">
        <v>0</v>
      </c>
      <c r="BT89" s="18">
        <v>0</v>
      </c>
      <c r="BU89" s="18">
        <v>0</v>
      </c>
      <c r="BV89" s="18">
        <v>0</v>
      </c>
      <c r="BW89" s="18">
        <v>0</v>
      </c>
      <c r="BX89" s="18">
        <v>0.84066255596653972</v>
      </c>
      <c r="BY89" s="18"/>
      <c r="BZ89" s="18">
        <v>0</v>
      </c>
      <c r="CA89" s="18">
        <v>0</v>
      </c>
      <c r="CB89" s="18">
        <v>4.3305020704320167</v>
      </c>
      <c r="CC89" s="18">
        <v>0.84066255596653972</v>
      </c>
      <c r="CD89" s="599">
        <v>5.1512964859640791</v>
      </c>
      <c r="CE89" s="18">
        <v>-8.3105984588557842</v>
      </c>
      <c r="CF89" s="18">
        <v>5.2797260413485501E-2</v>
      </c>
      <c r="CG89" s="18">
        <v>0</v>
      </c>
      <c r="CH89" s="18">
        <v>5.2797260413485501E-2</v>
      </c>
      <c r="CI89" s="18">
        <v>2.6398333837998082E-3</v>
      </c>
      <c r="CJ89" s="18">
        <v>0</v>
      </c>
      <c r="CK89" s="18">
        <v>2.6398333837998082E-3</v>
      </c>
      <c r="CL89" s="18"/>
      <c r="CM89" s="18">
        <v>0</v>
      </c>
      <c r="CN89" s="18"/>
      <c r="CO89" s="18">
        <v>0</v>
      </c>
      <c r="CP89" s="18">
        <v>0</v>
      </c>
      <c r="CQ89" s="18">
        <v>0</v>
      </c>
      <c r="CR89" s="18">
        <v>0</v>
      </c>
      <c r="CS89" s="18">
        <v>0</v>
      </c>
      <c r="CT89" s="18">
        <v>0</v>
      </c>
      <c r="CU89" s="18">
        <v>0</v>
      </c>
      <c r="CV89" s="18">
        <v>9999</v>
      </c>
      <c r="CW89" s="599">
        <v>9999</v>
      </c>
    </row>
    <row r="90" spans="1:101">
      <c r="A90" t="s">
        <v>575</v>
      </c>
      <c r="B90" t="s">
        <v>56</v>
      </c>
      <c r="C90" s="18">
        <v>15</v>
      </c>
      <c r="D90" s="18">
        <v>4</v>
      </c>
      <c r="E90" s="18">
        <v>0</v>
      </c>
      <c r="F90" s="18">
        <v>0.45149651239206373</v>
      </c>
      <c r="G90" s="18">
        <v>0</v>
      </c>
      <c r="H90" s="18">
        <v>0</v>
      </c>
      <c r="I90" s="18" t="s">
        <v>788</v>
      </c>
      <c r="J90" s="18"/>
      <c r="K90" s="18"/>
      <c r="L90" s="18">
        <v>4.297103134260384</v>
      </c>
      <c r="M90" s="18">
        <v>1.4713856900822407E-3</v>
      </c>
      <c r="N90" s="18">
        <v>1.4607658880046906E-3</v>
      </c>
      <c r="O90" s="18">
        <v>0</v>
      </c>
      <c r="P90" s="18">
        <v>0</v>
      </c>
      <c r="Q90" s="18">
        <v>0</v>
      </c>
      <c r="R90" s="18">
        <v>9.003443588811906E-2</v>
      </c>
      <c r="S90" s="18">
        <v>0.20805588717704784</v>
      </c>
      <c r="T90" s="18">
        <v>0</v>
      </c>
      <c r="U90" s="18">
        <v>0.30199330787368073</v>
      </c>
      <c r="V90" s="18" t="s">
        <v>773</v>
      </c>
      <c r="W90" s="18" t="s">
        <v>773</v>
      </c>
      <c r="X90" s="18" t="s">
        <v>773</v>
      </c>
      <c r="Y90" s="18" t="s">
        <v>773</v>
      </c>
      <c r="Z90" s="18">
        <v>0</v>
      </c>
      <c r="AA90" s="18">
        <v>0</v>
      </c>
      <c r="AB90" s="18">
        <v>0</v>
      </c>
      <c r="AC90" s="18">
        <v>0</v>
      </c>
      <c r="AD90" s="18">
        <v>0</v>
      </c>
      <c r="AE90" s="18">
        <v>0</v>
      </c>
      <c r="AF90" s="18">
        <v>0</v>
      </c>
      <c r="AG90" s="18">
        <v>0</v>
      </c>
      <c r="AH90" s="18">
        <v>9.003443588811906E-2</v>
      </c>
      <c r="AI90" s="18">
        <v>0.20805588717704784</v>
      </c>
      <c r="AJ90" s="18">
        <v>0</v>
      </c>
      <c r="AK90" s="18">
        <v>0.30199330787368073</v>
      </c>
      <c r="AL90" s="18">
        <v>0.60008363093884765</v>
      </c>
      <c r="AM90" s="18">
        <v>2.2130193584558375</v>
      </c>
      <c r="AN90" s="18">
        <v>0.51991190439586132</v>
      </c>
      <c r="AO90" s="18">
        <v>0</v>
      </c>
      <c r="AP90" s="18">
        <v>0</v>
      </c>
      <c r="AQ90" s="18">
        <v>2.7329312628516989</v>
      </c>
      <c r="AR90" s="18">
        <v>9.003443588811906E-2</v>
      </c>
      <c r="AS90" s="599">
        <v>30.354288732899544</v>
      </c>
      <c r="AT90" s="18">
        <v>2.2130193584558375</v>
      </c>
      <c r="AU90" s="18">
        <v>0.61542083907898792</v>
      </c>
      <c r="AV90" s="18">
        <v>0</v>
      </c>
      <c r="AW90" s="18">
        <v>0</v>
      </c>
      <c r="AX90" s="18">
        <v>2.8284401975348255</v>
      </c>
      <c r="AY90" s="18">
        <v>0.20805588717704784</v>
      </c>
      <c r="AZ90" s="599">
        <v>13.594617465104113</v>
      </c>
      <c r="BA90" s="18">
        <v>2.2130193584558375</v>
      </c>
      <c r="BB90" s="18">
        <v>1.1353327434748492</v>
      </c>
      <c r="BC90" s="18">
        <v>0</v>
      </c>
      <c r="BD90" s="18">
        <v>0</v>
      </c>
      <c r="BE90" s="18">
        <v>3.3483521019306868</v>
      </c>
      <c r="BF90" s="18">
        <v>0.29809032306516692</v>
      </c>
      <c r="BG90" s="18">
        <v>-14.336579974528753</v>
      </c>
      <c r="BH90" s="599">
        <v>11.232676282479281</v>
      </c>
      <c r="BI90" s="18">
        <v>1.5417110493995141</v>
      </c>
      <c r="BJ90" s="18">
        <v>3.5626597422353714</v>
      </c>
      <c r="BK90" s="18">
        <v>0</v>
      </c>
      <c r="BL90" s="18">
        <v>5.17120382885635</v>
      </c>
      <c r="BM90" s="18">
        <v>10.275574620491234</v>
      </c>
      <c r="BN90" s="18">
        <v>2.2130193584558375</v>
      </c>
      <c r="BO90" s="18">
        <v>0</v>
      </c>
      <c r="BP90" s="18">
        <v>1.1353327434748492</v>
      </c>
      <c r="BQ90" s="18">
        <v>0</v>
      </c>
      <c r="BR90" s="18">
        <v>0</v>
      </c>
      <c r="BS90" s="18">
        <v>0</v>
      </c>
      <c r="BT90" s="18">
        <v>0</v>
      </c>
      <c r="BU90" s="18">
        <v>0</v>
      </c>
      <c r="BV90" s="18">
        <v>0</v>
      </c>
      <c r="BW90" s="18">
        <v>0</v>
      </c>
      <c r="BX90" s="18">
        <v>0.60008363093884765</v>
      </c>
      <c r="BY90" s="18"/>
      <c r="BZ90" s="18">
        <v>0</v>
      </c>
      <c r="CA90" s="18">
        <v>0</v>
      </c>
      <c r="CB90" s="18">
        <v>3.3483521019306868</v>
      </c>
      <c r="CC90" s="18">
        <v>0.60008363093884765</v>
      </c>
      <c r="CD90" s="599">
        <v>5.5798090954290753</v>
      </c>
      <c r="CE90" s="18">
        <v>-9.1653761456724023</v>
      </c>
      <c r="CF90" s="18">
        <v>4.0822938081181877E-2</v>
      </c>
      <c r="CG90" s="18">
        <v>0</v>
      </c>
      <c r="CH90" s="18">
        <v>4.0822938081181877E-2</v>
      </c>
      <c r="CI90" s="18">
        <v>2.0411239887736816E-3</v>
      </c>
      <c r="CJ90" s="18">
        <v>0</v>
      </c>
      <c r="CK90" s="18">
        <v>2.0411239887736816E-3</v>
      </c>
      <c r="CL90" s="18"/>
      <c r="CM90" s="18">
        <v>0</v>
      </c>
      <c r="CN90" s="18"/>
      <c r="CO90" s="18">
        <v>0</v>
      </c>
      <c r="CP90" s="18">
        <v>0</v>
      </c>
      <c r="CQ90" s="18">
        <v>0</v>
      </c>
      <c r="CR90" s="18">
        <v>0</v>
      </c>
      <c r="CS90" s="18">
        <v>0</v>
      </c>
      <c r="CT90" s="18">
        <v>0</v>
      </c>
      <c r="CU90" s="18">
        <v>0</v>
      </c>
      <c r="CV90" s="18">
        <v>9999</v>
      </c>
      <c r="CW90" s="599">
        <v>9999</v>
      </c>
    </row>
    <row r="91" spans="1:101">
      <c r="A91" t="s">
        <v>576</v>
      </c>
      <c r="B91" t="s">
        <v>139</v>
      </c>
      <c r="C91" s="18">
        <v>15</v>
      </c>
      <c r="D91" s="18">
        <v>2.8336615973578971</v>
      </c>
      <c r="E91" s="18">
        <v>0</v>
      </c>
      <c r="F91" s="18">
        <v>0.3776042842716732</v>
      </c>
      <c r="G91" s="18">
        <v>0</v>
      </c>
      <c r="H91" s="18">
        <v>0</v>
      </c>
      <c r="I91" s="18" t="s">
        <v>577</v>
      </c>
      <c r="J91" s="18"/>
      <c r="K91" s="18"/>
      <c r="L91" s="18">
        <v>3.0449198475183858</v>
      </c>
      <c r="M91" s="18">
        <v>5.3639795134547634E-4</v>
      </c>
      <c r="N91" s="18">
        <v>5.3252647147688115E-4</v>
      </c>
      <c r="O91" s="18">
        <v>0</v>
      </c>
      <c r="P91" s="18">
        <v>0</v>
      </c>
      <c r="Q91" s="18">
        <v>0</v>
      </c>
      <c r="R91" s="18">
        <v>7.5299338511423314E-2</v>
      </c>
      <c r="S91" s="18">
        <v>0.17400531833516353</v>
      </c>
      <c r="T91" s="18">
        <v>0</v>
      </c>
      <c r="U91" s="18">
        <v>0.2525688764910175</v>
      </c>
      <c r="V91" s="18" t="s">
        <v>773</v>
      </c>
      <c r="W91" s="18" t="s">
        <v>773</v>
      </c>
      <c r="X91" s="18" t="s">
        <v>773</v>
      </c>
      <c r="Y91" s="18" t="s">
        <v>773</v>
      </c>
      <c r="Z91" s="18">
        <v>0</v>
      </c>
      <c r="AA91" s="18">
        <v>0</v>
      </c>
      <c r="AB91" s="18">
        <v>0</v>
      </c>
      <c r="AC91" s="18">
        <v>0</v>
      </c>
      <c r="AD91" s="18">
        <v>0</v>
      </c>
      <c r="AE91" s="18">
        <v>0</v>
      </c>
      <c r="AF91" s="18">
        <v>0</v>
      </c>
      <c r="AG91" s="18">
        <v>0</v>
      </c>
      <c r="AH91" s="18">
        <v>7.5299338511423314E-2</v>
      </c>
      <c r="AI91" s="18">
        <v>0.17400531833516353</v>
      </c>
      <c r="AJ91" s="18">
        <v>0</v>
      </c>
      <c r="AK91" s="18">
        <v>0.2525688764910175</v>
      </c>
      <c r="AL91" s="18">
        <v>0.50187353333760432</v>
      </c>
      <c r="AM91" s="18">
        <v>1.577641528312353</v>
      </c>
      <c r="AN91" s="18">
        <v>0.18953540344848516</v>
      </c>
      <c r="AO91" s="18">
        <v>0</v>
      </c>
      <c r="AP91" s="18">
        <v>0</v>
      </c>
      <c r="AQ91" s="18">
        <v>1.7671769317608381</v>
      </c>
      <c r="AR91" s="18">
        <v>7.5299338511423314E-2</v>
      </c>
      <c r="AS91" s="599">
        <v>23.468691315166705</v>
      </c>
      <c r="AT91" s="18">
        <v>1.577641528312353</v>
      </c>
      <c r="AU91" s="18">
        <v>0.22435346457585315</v>
      </c>
      <c r="AV91" s="18">
        <v>0</v>
      </c>
      <c r="AW91" s="18">
        <v>0</v>
      </c>
      <c r="AX91" s="18">
        <v>1.8019949928882062</v>
      </c>
      <c r="AY91" s="18">
        <v>0.17400531833516353</v>
      </c>
      <c r="AZ91" s="599">
        <v>10.355976530655578</v>
      </c>
      <c r="BA91" s="18">
        <v>1.577641528312353</v>
      </c>
      <c r="BB91" s="18">
        <v>0.41388886802433833</v>
      </c>
      <c r="BC91" s="18">
        <v>0</v>
      </c>
      <c r="BD91" s="18">
        <v>0</v>
      </c>
      <c r="BE91" s="18">
        <v>1.9915303963366913</v>
      </c>
      <c r="BF91" s="18">
        <v>0.24930465684658684</v>
      </c>
      <c r="BG91" s="18">
        <v>-3.9772456883505858</v>
      </c>
      <c r="BH91" s="599">
        <v>7.9883401358291026</v>
      </c>
      <c r="BI91" s="18">
        <v>1.8196397290306674</v>
      </c>
      <c r="BJ91" s="18">
        <v>4.2049106481494256</v>
      </c>
      <c r="BK91" s="18">
        <v>0</v>
      </c>
      <c r="BL91" s="18">
        <v>6.1034315980076475</v>
      </c>
      <c r="BM91" s="18">
        <v>12.127981975187739</v>
      </c>
      <c r="BN91" s="18">
        <v>1.577641528312353</v>
      </c>
      <c r="BO91" s="18">
        <v>0</v>
      </c>
      <c r="BP91" s="18">
        <v>0.41388886802433833</v>
      </c>
      <c r="BQ91" s="18">
        <v>0</v>
      </c>
      <c r="BR91" s="18">
        <v>0</v>
      </c>
      <c r="BS91" s="18">
        <v>0</v>
      </c>
      <c r="BT91" s="18">
        <v>0</v>
      </c>
      <c r="BU91" s="18">
        <v>0</v>
      </c>
      <c r="BV91" s="18">
        <v>0</v>
      </c>
      <c r="BW91" s="18">
        <v>0</v>
      </c>
      <c r="BX91" s="18">
        <v>0.50187353333760432</v>
      </c>
      <c r="BY91" s="18"/>
      <c r="BZ91" s="18">
        <v>0</v>
      </c>
      <c r="CA91" s="18">
        <v>0</v>
      </c>
      <c r="CB91" s="18">
        <v>1.9915303963366913</v>
      </c>
      <c r="CC91" s="18">
        <v>0.50187353333760432</v>
      </c>
      <c r="CD91" s="599">
        <v>3.9681917137419811</v>
      </c>
      <c r="CE91" s="18">
        <v>2.1261859096570599</v>
      </c>
      <c r="CF91" s="18">
        <v>2.8927027493569818E-2</v>
      </c>
      <c r="CG91" s="18">
        <v>0</v>
      </c>
      <c r="CH91" s="18">
        <v>2.8927027493569818E-2</v>
      </c>
      <c r="CI91" s="18">
        <v>1.446336927571233E-3</v>
      </c>
      <c r="CJ91" s="18">
        <v>0</v>
      </c>
      <c r="CK91" s="18">
        <v>1.446336927571233E-3</v>
      </c>
      <c r="CL91" s="18"/>
      <c r="CM91" s="18">
        <v>0</v>
      </c>
      <c r="CN91" s="18"/>
      <c r="CO91" s="18">
        <v>0</v>
      </c>
      <c r="CP91" s="18">
        <v>0</v>
      </c>
      <c r="CQ91" s="18">
        <v>0</v>
      </c>
      <c r="CR91" s="18">
        <v>0</v>
      </c>
      <c r="CS91" s="18">
        <v>0</v>
      </c>
      <c r="CT91" s="18">
        <v>0</v>
      </c>
      <c r="CU91" s="18">
        <v>0</v>
      </c>
      <c r="CV91" s="18">
        <v>9999</v>
      </c>
      <c r="CW91" s="599">
        <v>9999</v>
      </c>
    </row>
    <row r="92" spans="1:101">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row>
    <row r="93" spans="1:101">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row>
    <row r="94" spans="1:101" ht="13.5" thickBot="1">
      <c r="A94" s="588" t="s">
        <v>774</v>
      </c>
      <c r="B94" s="589"/>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row>
    <row r="95" spans="1:101" ht="26.25" thickBot="1">
      <c r="A95" s="611" t="s">
        <v>679</v>
      </c>
      <c r="B95" s="612"/>
      <c r="C95" s="613" t="s">
        <v>680</v>
      </c>
      <c r="D95" s="614"/>
      <c r="E95" s="614"/>
      <c r="F95" s="614"/>
      <c r="G95" s="614"/>
      <c r="H95" s="614"/>
      <c r="I95" s="614"/>
      <c r="J95" s="614"/>
      <c r="K95" s="615"/>
      <c r="L95" s="613" t="s">
        <v>279</v>
      </c>
      <c r="M95" s="614"/>
      <c r="N95" s="614"/>
      <c r="O95" s="614"/>
      <c r="P95" s="614"/>
      <c r="Q95" s="615"/>
      <c r="R95" s="613" t="s">
        <v>681</v>
      </c>
      <c r="S95" s="614"/>
      <c r="T95" s="614"/>
      <c r="U95" s="615"/>
      <c r="V95" s="613" t="s">
        <v>682</v>
      </c>
      <c r="W95" s="614"/>
      <c r="X95" s="614"/>
      <c r="Y95" s="615"/>
      <c r="Z95" s="613" t="s">
        <v>683</v>
      </c>
      <c r="AA95" s="614"/>
      <c r="AB95" s="614"/>
      <c r="AC95" s="615"/>
      <c r="AD95" s="613" t="s">
        <v>684</v>
      </c>
      <c r="AE95" s="614"/>
      <c r="AF95" s="614"/>
      <c r="AG95" s="615"/>
      <c r="AH95" s="613" t="s">
        <v>685</v>
      </c>
      <c r="AI95" s="614"/>
      <c r="AJ95" s="614"/>
      <c r="AK95" s="614"/>
      <c r="AL95" s="615"/>
      <c r="AM95" s="613" t="s">
        <v>686</v>
      </c>
      <c r="AN95" s="614"/>
      <c r="AO95" s="614"/>
      <c r="AP95" s="614"/>
      <c r="AQ95" s="614"/>
      <c r="AR95" s="614"/>
      <c r="AS95" s="615"/>
      <c r="AT95" s="613" t="s">
        <v>687</v>
      </c>
      <c r="AU95" s="614"/>
      <c r="AV95" s="614"/>
      <c r="AW95" s="614"/>
      <c r="AX95" s="614"/>
      <c r="AY95" s="614"/>
      <c r="AZ95" s="615"/>
      <c r="BA95" s="613" t="s">
        <v>688</v>
      </c>
      <c r="BB95" s="614"/>
      <c r="BC95" s="614"/>
      <c r="BD95" s="614"/>
      <c r="BE95" s="614"/>
      <c r="BF95" s="615"/>
      <c r="BG95" s="613" t="s">
        <v>689</v>
      </c>
      <c r="BH95" s="615"/>
      <c r="BI95" s="613" t="s">
        <v>690</v>
      </c>
      <c r="BJ95" s="614"/>
      <c r="BK95" s="614"/>
      <c r="BL95" s="614"/>
      <c r="BM95" s="615"/>
      <c r="BN95" s="613" t="s">
        <v>691</v>
      </c>
      <c r="BO95" s="614"/>
      <c r="BP95" s="614"/>
      <c r="BQ95" s="614"/>
      <c r="BR95" s="614"/>
      <c r="BS95" s="614"/>
      <c r="BT95" s="614"/>
      <c r="BU95" s="614"/>
      <c r="BV95" s="614"/>
      <c r="BW95" s="614"/>
      <c r="BX95" s="614"/>
      <c r="BY95" s="614"/>
      <c r="BZ95" s="614"/>
      <c r="CA95" s="614"/>
      <c r="CB95" s="614"/>
      <c r="CC95" s="615"/>
      <c r="CD95" s="613" t="s">
        <v>692</v>
      </c>
      <c r="CE95" s="615"/>
      <c r="CF95" s="613" t="s">
        <v>693</v>
      </c>
      <c r="CG95" s="614"/>
      <c r="CH95" s="614"/>
      <c r="CI95" s="614"/>
      <c r="CJ95" s="614"/>
      <c r="CK95" s="615"/>
      <c r="CL95" s="616"/>
      <c r="CM95" s="613" t="s">
        <v>259</v>
      </c>
      <c r="CN95" s="614"/>
      <c r="CO95" s="614"/>
      <c r="CP95" s="615"/>
      <c r="CQ95" s="613" t="s">
        <v>694</v>
      </c>
      <c r="CR95" s="614"/>
      <c r="CS95" s="614"/>
      <c r="CT95" s="614"/>
      <c r="CU95" s="615"/>
      <c r="CV95" s="613" t="s">
        <v>695</v>
      </c>
      <c r="CW95" s="615"/>
    </row>
    <row r="96" spans="1:101" ht="216.75">
      <c r="A96" s="596" t="s">
        <v>581</v>
      </c>
      <c r="B96" s="597" t="s">
        <v>582</v>
      </c>
      <c r="C96" s="598" t="s">
        <v>498</v>
      </c>
      <c r="D96" s="598" t="s">
        <v>696</v>
      </c>
      <c r="E96" s="598" t="s">
        <v>697</v>
      </c>
      <c r="F96" s="598" t="s">
        <v>698</v>
      </c>
      <c r="G96" s="598" t="s">
        <v>699</v>
      </c>
      <c r="H96" s="598" t="s">
        <v>700</v>
      </c>
      <c r="I96" s="598" t="s">
        <v>701</v>
      </c>
      <c r="J96" s="598" t="s">
        <v>702</v>
      </c>
      <c r="K96" s="598" t="s">
        <v>703</v>
      </c>
      <c r="L96" s="598" t="s">
        <v>704</v>
      </c>
      <c r="M96" s="598" t="s">
        <v>705</v>
      </c>
      <c r="N96" s="598" t="s">
        <v>706</v>
      </c>
      <c r="O96" s="598" t="s">
        <v>707</v>
      </c>
      <c r="P96" s="598" t="s">
        <v>708</v>
      </c>
      <c r="Q96" s="598" t="s">
        <v>709</v>
      </c>
      <c r="R96" s="598" t="s">
        <v>710</v>
      </c>
      <c r="S96" s="598" t="s">
        <v>711</v>
      </c>
      <c r="T96" s="598" t="s">
        <v>712</v>
      </c>
      <c r="U96" s="598" t="s">
        <v>619</v>
      </c>
      <c r="V96" s="598" t="s">
        <v>710</v>
      </c>
      <c r="W96" s="598" t="s">
        <v>711</v>
      </c>
      <c r="X96" s="598" t="s">
        <v>712</v>
      </c>
      <c r="Y96" s="598" t="s">
        <v>619</v>
      </c>
      <c r="Z96" s="598" t="s">
        <v>710</v>
      </c>
      <c r="AA96" s="598" t="s">
        <v>711</v>
      </c>
      <c r="AB96" s="598" t="s">
        <v>712</v>
      </c>
      <c r="AC96" s="598" t="s">
        <v>619</v>
      </c>
      <c r="AD96" s="598" t="s">
        <v>710</v>
      </c>
      <c r="AE96" s="598" t="s">
        <v>711</v>
      </c>
      <c r="AF96" s="598" t="s">
        <v>712</v>
      </c>
      <c r="AG96" s="598" t="s">
        <v>619</v>
      </c>
      <c r="AH96" s="598" t="s">
        <v>710</v>
      </c>
      <c r="AI96" s="598" t="s">
        <v>711</v>
      </c>
      <c r="AJ96" s="598" t="s">
        <v>712</v>
      </c>
      <c r="AK96" s="598" t="s">
        <v>619</v>
      </c>
      <c r="AL96" s="598" t="s">
        <v>280</v>
      </c>
      <c r="AM96" s="598" t="s">
        <v>713</v>
      </c>
      <c r="AN96" s="598" t="s">
        <v>714</v>
      </c>
      <c r="AO96" s="598" t="s">
        <v>715</v>
      </c>
      <c r="AP96" s="598" t="s">
        <v>716</v>
      </c>
      <c r="AQ96" s="598" t="s">
        <v>717</v>
      </c>
      <c r="AR96" s="598" t="s">
        <v>718</v>
      </c>
      <c r="AS96" s="598" t="s">
        <v>719</v>
      </c>
      <c r="AT96" s="598" t="s">
        <v>720</v>
      </c>
      <c r="AU96" s="598" t="s">
        <v>721</v>
      </c>
      <c r="AV96" s="598" t="s">
        <v>722</v>
      </c>
      <c r="AW96" s="598" t="s">
        <v>723</v>
      </c>
      <c r="AX96" s="598" t="s">
        <v>724</v>
      </c>
      <c r="AY96" s="598" t="s">
        <v>725</v>
      </c>
      <c r="AZ96" s="598" t="s">
        <v>726</v>
      </c>
      <c r="BA96" s="598" t="s">
        <v>727</v>
      </c>
      <c r="BB96" s="598" t="s">
        <v>728</v>
      </c>
      <c r="BC96" s="598" t="s">
        <v>729</v>
      </c>
      <c r="BD96" s="598" t="s">
        <v>730</v>
      </c>
      <c r="BE96" s="598" t="s">
        <v>731</v>
      </c>
      <c r="BF96" s="598" t="s">
        <v>732</v>
      </c>
      <c r="BG96" s="598" t="s">
        <v>733</v>
      </c>
      <c r="BH96" s="598" t="s">
        <v>734</v>
      </c>
      <c r="BI96" s="598" t="s">
        <v>735</v>
      </c>
      <c r="BJ96" s="598" t="s">
        <v>736</v>
      </c>
      <c r="BK96" s="598" t="s">
        <v>737</v>
      </c>
      <c r="BL96" s="598" t="s">
        <v>738</v>
      </c>
      <c r="BM96" s="598" t="s">
        <v>739</v>
      </c>
      <c r="BN96" s="598" t="s">
        <v>740</v>
      </c>
      <c r="BO96" s="598" t="s">
        <v>741</v>
      </c>
      <c r="BP96" s="598" t="s">
        <v>742</v>
      </c>
      <c r="BQ96" s="598" t="s">
        <v>743</v>
      </c>
      <c r="BR96" s="598" t="s">
        <v>744</v>
      </c>
      <c r="BS96" s="598" t="s">
        <v>745</v>
      </c>
      <c r="BT96" s="598" t="s">
        <v>746</v>
      </c>
      <c r="BU96" s="598" t="s">
        <v>747</v>
      </c>
      <c r="BV96" s="598" t="s">
        <v>748</v>
      </c>
      <c r="BW96" s="598" t="s">
        <v>749</v>
      </c>
      <c r="BX96" s="598" t="s">
        <v>750</v>
      </c>
      <c r="BY96" s="598" t="s">
        <v>751</v>
      </c>
      <c r="BZ96" s="598" t="s">
        <v>752</v>
      </c>
      <c r="CA96" s="598" t="s">
        <v>753</v>
      </c>
      <c r="CB96" s="598" t="s">
        <v>754</v>
      </c>
      <c r="CC96" s="598" t="s">
        <v>755</v>
      </c>
      <c r="CD96" s="598" t="s">
        <v>590</v>
      </c>
      <c r="CE96" s="598" t="s">
        <v>384</v>
      </c>
      <c r="CF96" s="598" t="s">
        <v>756</v>
      </c>
      <c r="CG96" s="598" t="s">
        <v>757</v>
      </c>
      <c r="CH96" s="598" t="s">
        <v>758</v>
      </c>
      <c r="CI96" s="598" t="s">
        <v>759</v>
      </c>
      <c r="CJ96" s="598" t="s">
        <v>760</v>
      </c>
      <c r="CK96" s="598" t="s">
        <v>761</v>
      </c>
      <c r="CL96" s="598"/>
      <c r="CM96" s="598" t="s">
        <v>762</v>
      </c>
      <c r="CN96" s="598" t="s">
        <v>763</v>
      </c>
      <c r="CO96" s="598" t="s">
        <v>764</v>
      </c>
      <c r="CP96" s="598" t="s">
        <v>765</v>
      </c>
      <c r="CQ96" s="598" t="s">
        <v>766</v>
      </c>
      <c r="CR96" s="598" t="s">
        <v>767</v>
      </c>
      <c r="CS96" s="598" t="s">
        <v>768</v>
      </c>
      <c r="CT96" s="598" t="s">
        <v>769</v>
      </c>
      <c r="CU96" s="598" t="s">
        <v>770</v>
      </c>
      <c r="CV96" s="598" t="s">
        <v>771</v>
      </c>
      <c r="CW96" s="598" t="s">
        <v>772</v>
      </c>
    </row>
    <row r="97" spans="1:101">
      <c r="A97" t="s">
        <v>554</v>
      </c>
      <c r="C97" s="18">
        <v>15</v>
      </c>
      <c r="D97" s="18">
        <v>4</v>
      </c>
      <c r="E97" s="18">
        <v>0</v>
      </c>
      <c r="F97" s="18">
        <v>0.45149651239206373</v>
      </c>
      <c r="G97" s="18">
        <v>0</v>
      </c>
      <c r="H97" s="18">
        <v>0</v>
      </c>
      <c r="I97" s="18"/>
      <c r="J97" s="18"/>
      <c r="K97" s="18"/>
      <c r="L97" s="18">
        <v>4.297103134260384</v>
      </c>
      <c r="M97" s="18">
        <v>1.4713856900822407E-3</v>
      </c>
      <c r="N97" s="18">
        <v>1.4607658880046906E-3</v>
      </c>
      <c r="O97" s="18">
        <v>0</v>
      </c>
      <c r="P97" s="18">
        <v>0</v>
      </c>
      <c r="Q97" s="18">
        <v>0</v>
      </c>
      <c r="R97" s="18">
        <v>9.003443588811906E-2</v>
      </c>
      <c r="S97" s="18">
        <v>0.20805588717704784</v>
      </c>
      <c r="T97" s="18">
        <v>0</v>
      </c>
      <c r="U97" s="18">
        <v>0.30199330787368073</v>
      </c>
      <c r="V97" s="18">
        <v>2.7089790743523825E-2</v>
      </c>
      <c r="W97" s="18">
        <v>6.3209511734888923E-2</v>
      </c>
      <c r="X97" s="18">
        <v>0</v>
      </c>
      <c r="Y97" s="18">
        <v>0</v>
      </c>
      <c r="Z97" s="18">
        <v>0</v>
      </c>
      <c r="AA97" s="18">
        <v>0</v>
      </c>
      <c r="AB97" s="18">
        <v>0</v>
      </c>
      <c r="AC97" s="18">
        <v>0</v>
      </c>
      <c r="AD97" s="18">
        <v>0</v>
      </c>
      <c r="AE97" s="18">
        <v>0</v>
      </c>
      <c r="AF97" s="18">
        <v>0</v>
      </c>
      <c r="AG97" s="18">
        <v>0</v>
      </c>
      <c r="AH97" s="18">
        <v>0.11712422663164289</v>
      </c>
      <c r="AI97" s="18">
        <v>0.27126539891193679</v>
      </c>
      <c r="AJ97" s="18">
        <v>0</v>
      </c>
      <c r="AK97" s="18">
        <v>0.30199330787368073</v>
      </c>
      <c r="AL97" s="18">
        <v>0.69038293341726042</v>
      </c>
      <c r="AM97" s="18">
        <v>2.2130193584558375</v>
      </c>
      <c r="AN97" s="18">
        <v>0.51991190439586132</v>
      </c>
      <c r="AO97" s="18">
        <v>0</v>
      </c>
      <c r="AP97" s="18">
        <v>0</v>
      </c>
      <c r="AQ97" s="18">
        <v>2.7329312628516989</v>
      </c>
      <c r="AR97" s="18">
        <v>0.11712422663164289</v>
      </c>
      <c r="AS97" s="599">
        <v>23.333612024152789</v>
      </c>
      <c r="AT97" s="18">
        <v>2.2130193584558375</v>
      </c>
      <c r="AU97" s="18">
        <v>0.61542083907898792</v>
      </c>
      <c r="AV97" s="18">
        <v>0</v>
      </c>
      <c r="AW97" s="18">
        <v>0</v>
      </c>
      <c r="AX97" s="18">
        <v>2.8284401975348255</v>
      </c>
      <c r="AY97" s="18">
        <v>0.27126539891193679</v>
      </c>
      <c r="AZ97" s="599">
        <v>10.426837366209931</v>
      </c>
      <c r="BA97" s="18">
        <v>2.2130193584558375</v>
      </c>
      <c r="BB97" s="18">
        <v>1.1353327434748492</v>
      </c>
      <c r="BC97" s="18">
        <v>0</v>
      </c>
      <c r="BD97" s="18">
        <v>0</v>
      </c>
      <c r="BE97" s="18">
        <v>3.3483521019306868</v>
      </c>
      <c r="BF97" s="18">
        <v>0.3883896255435797</v>
      </c>
      <c r="BG97" s="18">
        <v>-12.790333463282392</v>
      </c>
      <c r="BH97" s="599">
        <v>8.621116223803412</v>
      </c>
      <c r="BI97" s="18">
        <v>2.005585002773421</v>
      </c>
      <c r="BJ97" s="18">
        <v>4.6450323001078218</v>
      </c>
      <c r="BK97" s="18">
        <v>0</v>
      </c>
      <c r="BL97" s="18">
        <v>5.17120382885635</v>
      </c>
      <c r="BM97" s="18">
        <v>11.821821131737593</v>
      </c>
      <c r="BN97" s="18">
        <v>2.2130193584558375</v>
      </c>
      <c r="BO97" s="18">
        <v>0</v>
      </c>
      <c r="BP97" s="18">
        <v>1.1353327434748492</v>
      </c>
      <c r="BQ97" s="18">
        <v>0</v>
      </c>
      <c r="BR97" s="18">
        <v>0</v>
      </c>
      <c r="BS97" s="18">
        <v>0</v>
      </c>
      <c r="BT97" s="18">
        <v>0</v>
      </c>
      <c r="BU97" s="18">
        <v>0</v>
      </c>
      <c r="BV97" s="18">
        <v>0</v>
      </c>
      <c r="BW97" s="18">
        <v>0</v>
      </c>
      <c r="BX97" s="18">
        <v>0.60008363093884765</v>
      </c>
      <c r="BY97" s="18">
        <v>9.0299302478412752E-2</v>
      </c>
      <c r="BZ97" s="18">
        <v>0</v>
      </c>
      <c r="CA97" s="18">
        <v>0</v>
      </c>
      <c r="CB97" s="18">
        <v>3.3483521019306868</v>
      </c>
      <c r="CC97" s="18">
        <v>0.69038293341726042</v>
      </c>
      <c r="CD97" s="599">
        <v>4.8499925763764162</v>
      </c>
      <c r="CE97" s="18">
        <v>-7.6191296344260442</v>
      </c>
      <c r="CF97" s="18">
        <v>4.0822938081181877E-2</v>
      </c>
      <c r="CG97" s="18">
        <v>0</v>
      </c>
      <c r="CH97" s="18">
        <v>4.0822938081181877E-2</v>
      </c>
      <c r="CI97" s="18">
        <v>2.0411239887736816E-3</v>
      </c>
      <c r="CJ97" s="18">
        <v>0</v>
      </c>
      <c r="CK97" s="18">
        <v>2.0411239887736816E-3</v>
      </c>
      <c r="CL97" s="18"/>
      <c r="CM97" s="18">
        <v>0</v>
      </c>
      <c r="CN97" s="18"/>
      <c r="CO97" s="18">
        <v>0</v>
      </c>
      <c r="CP97" s="18">
        <v>0</v>
      </c>
      <c r="CQ97" s="18">
        <v>0</v>
      </c>
      <c r="CR97" s="18">
        <v>0</v>
      </c>
      <c r="CS97" s="18">
        <v>0</v>
      </c>
      <c r="CT97" s="18">
        <v>0</v>
      </c>
      <c r="CU97" s="18">
        <v>0</v>
      </c>
      <c r="CV97" s="18">
        <v>9999</v>
      </c>
      <c r="CW97" s="599">
        <v>9999</v>
      </c>
    </row>
    <row r="98" spans="1:101">
      <c r="A98" t="s">
        <v>561</v>
      </c>
      <c r="C98" s="18">
        <v>15</v>
      </c>
      <c r="D98" s="18">
        <v>4</v>
      </c>
      <c r="E98" s="18">
        <v>0</v>
      </c>
      <c r="F98" s="18">
        <v>0.45149651239206373</v>
      </c>
      <c r="G98" s="18">
        <v>0</v>
      </c>
      <c r="H98" s="18">
        <v>0</v>
      </c>
      <c r="I98" s="18"/>
      <c r="J98" s="18"/>
      <c r="K98" s="18"/>
      <c r="L98" s="18">
        <v>4.297103134260384</v>
      </c>
      <c r="M98" s="18">
        <v>1.4713856900822407E-3</v>
      </c>
      <c r="N98" s="18">
        <v>1.4607658880046906E-3</v>
      </c>
      <c r="O98" s="18">
        <v>0</v>
      </c>
      <c r="P98" s="18">
        <v>0</v>
      </c>
      <c r="Q98" s="18">
        <v>0</v>
      </c>
      <c r="R98" s="18">
        <v>9.003443588811906E-2</v>
      </c>
      <c r="S98" s="18">
        <v>0.20805588717704784</v>
      </c>
      <c r="T98" s="18">
        <v>0</v>
      </c>
      <c r="U98" s="18">
        <v>0.30199330787368073</v>
      </c>
      <c r="V98" s="18">
        <v>2.7089790743523825E-2</v>
      </c>
      <c r="W98" s="18">
        <v>6.3209511734888923E-2</v>
      </c>
      <c r="X98" s="18">
        <v>0</v>
      </c>
      <c r="Y98" s="18">
        <v>0</v>
      </c>
      <c r="Z98" s="18">
        <v>0</v>
      </c>
      <c r="AA98" s="18">
        <v>0</v>
      </c>
      <c r="AB98" s="18">
        <v>0</v>
      </c>
      <c r="AC98" s="18">
        <v>0</v>
      </c>
      <c r="AD98" s="18">
        <v>0</v>
      </c>
      <c r="AE98" s="18">
        <v>0</v>
      </c>
      <c r="AF98" s="18">
        <v>0</v>
      </c>
      <c r="AG98" s="18">
        <v>0</v>
      </c>
      <c r="AH98" s="18">
        <v>0.11712422663164289</v>
      </c>
      <c r="AI98" s="18">
        <v>0.27126539891193679</v>
      </c>
      <c r="AJ98" s="18">
        <v>0</v>
      </c>
      <c r="AK98" s="18">
        <v>0.30199330787368073</v>
      </c>
      <c r="AL98" s="18">
        <v>0.69038293341726042</v>
      </c>
      <c r="AM98" s="18">
        <v>2.2130193584558375</v>
      </c>
      <c r="AN98" s="18">
        <v>0.51991190439586132</v>
      </c>
      <c r="AO98" s="18">
        <v>0</v>
      </c>
      <c r="AP98" s="18">
        <v>0</v>
      </c>
      <c r="AQ98" s="18">
        <v>2.7329312628516989</v>
      </c>
      <c r="AR98" s="18">
        <v>0.11712422663164289</v>
      </c>
      <c r="AS98" s="599">
        <v>23.333612024152789</v>
      </c>
      <c r="AT98" s="18">
        <v>2.2130193584558375</v>
      </c>
      <c r="AU98" s="18">
        <v>0.61542083907898792</v>
      </c>
      <c r="AV98" s="18">
        <v>0</v>
      </c>
      <c r="AW98" s="18">
        <v>0</v>
      </c>
      <c r="AX98" s="18">
        <v>2.8284401975348255</v>
      </c>
      <c r="AY98" s="18">
        <v>0.27126539891193679</v>
      </c>
      <c r="AZ98" s="599">
        <v>10.426837366209931</v>
      </c>
      <c r="BA98" s="18">
        <v>2.2130193584558375</v>
      </c>
      <c r="BB98" s="18">
        <v>1.1353327434748492</v>
      </c>
      <c r="BC98" s="18">
        <v>0</v>
      </c>
      <c r="BD98" s="18">
        <v>0</v>
      </c>
      <c r="BE98" s="18">
        <v>3.3483521019306868</v>
      </c>
      <c r="BF98" s="18">
        <v>0.3883896255435797</v>
      </c>
      <c r="BG98" s="18">
        <v>-12.790333463282392</v>
      </c>
      <c r="BH98" s="599">
        <v>8.621116223803412</v>
      </c>
      <c r="BI98" s="18">
        <v>2.005585002773421</v>
      </c>
      <c r="BJ98" s="18">
        <v>4.6450323001078218</v>
      </c>
      <c r="BK98" s="18">
        <v>0</v>
      </c>
      <c r="BL98" s="18">
        <v>5.17120382885635</v>
      </c>
      <c r="BM98" s="18">
        <v>11.821821131737593</v>
      </c>
      <c r="BN98" s="18">
        <v>2.2130193584558375</v>
      </c>
      <c r="BO98" s="18">
        <v>0</v>
      </c>
      <c r="BP98" s="18">
        <v>1.1353327434748492</v>
      </c>
      <c r="BQ98" s="18">
        <v>0</v>
      </c>
      <c r="BR98" s="18">
        <v>0</v>
      </c>
      <c r="BS98" s="18">
        <v>0</v>
      </c>
      <c r="BT98" s="18">
        <v>0</v>
      </c>
      <c r="BU98" s="18">
        <v>0</v>
      </c>
      <c r="BV98" s="18">
        <v>0</v>
      </c>
      <c r="BW98" s="18">
        <v>0</v>
      </c>
      <c r="BX98" s="18">
        <v>0.60008363093884765</v>
      </c>
      <c r="BY98" s="18">
        <v>9.0299302478412752E-2</v>
      </c>
      <c r="BZ98" s="18">
        <v>0</v>
      </c>
      <c r="CA98" s="18">
        <v>0</v>
      </c>
      <c r="CB98" s="18">
        <v>3.3483521019306868</v>
      </c>
      <c r="CC98" s="18">
        <v>0.69038293341726042</v>
      </c>
      <c r="CD98" s="599">
        <v>4.8499925763764162</v>
      </c>
      <c r="CE98" s="18">
        <v>-7.6191296344260442</v>
      </c>
      <c r="CF98" s="18">
        <v>4.0822938081181877E-2</v>
      </c>
      <c r="CG98" s="18">
        <v>0</v>
      </c>
      <c r="CH98" s="18">
        <v>4.0822938081181877E-2</v>
      </c>
      <c r="CI98" s="18">
        <v>2.0411239887736816E-3</v>
      </c>
      <c r="CJ98" s="18">
        <v>0</v>
      </c>
      <c r="CK98" s="18">
        <v>2.0411239887736816E-3</v>
      </c>
      <c r="CL98" s="18"/>
      <c r="CM98" s="18">
        <v>0</v>
      </c>
      <c r="CN98" s="18"/>
      <c r="CO98" s="18">
        <v>0</v>
      </c>
      <c r="CP98" s="18">
        <v>0</v>
      </c>
      <c r="CQ98" s="18">
        <v>0</v>
      </c>
      <c r="CR98" s="18">
        <v>0</v>
      </c>
      <c r="CS98" s="18">
        <v>0</v>
      </c>
      <c r="CT98" s="18">
        <v>0</v>
      </c>
      <c r="CU98" s="18">
        <v>0</v>
      </c>
      <c r="CV98" s="18">
        <v>9999</v>
      </c>
      <c r="CW98" s="599">
        <v>9999</v>
      </c>
    </row>
    <row r="99" spans="1:101">
      <c r="A99" t="s">
        <v>568</v>
      </c>
      <c r="C99" s="18">
        <v>15</v>
      </c>
      <c r="D99" s="18">
        <v>4</v>
      </c>
      <c r="E99" s="18">
        <v>0</v>
      </c>
      <c r="F99" s="18">
        <v>0.45149651239206373</v>
      </c>
      <c r="G99" s="18">
        <v>0</v>
      </c>
      <c r="H99" s="18">
        <v>0</v>
      </c>
      <c r="I99" s="18"/>
      <c r="J99" s="18"/>
      <c r="K99" s="18"/>
      <c r="L99" s="18">
        <v>4.297103134260384</v>
      </c>
      <c r="M99" s="18">
        <v>1.4713856900822407E-3</v>
      </c>
      <c r="N99" s="18">
        <v>1.4607658880046906E-3</v>
      </c>
      <c r="O99" s="18">
        <v>0</v>
      </c>
      <c r="P99" s="18">
        <v>0</v>
      </c>
      <c r="Q99" s="18">
        <v>0</v>
      </c>
      <c r="R99" s="18">
        <v>9.003443588811906E-2</v>
      </c>
      <c r="S99" s="18">
        <v>0.20805588717704784</v>
      </c>
      <c r="T99" s="18">
        <v>0</v>
      </c>
      <c r="U99" s="18">
        <v>0.30199330787368073</v>
      </c>
      <c r="V99" s="18">
        <v>2.7089790743523825E-2</v>
      </c>
      <c r="W99" s="18">
        <v>6.3209511734888923E-2</v>
      </c>
      <c r="X99" s="18">
        <v>0</v>
      </c>
      <c r="Y99" s="18">
        <v>0</v>
      </c>
      <c r="Z99" s="18">
        <v>0</v>
      </c>
      <c r="AA99" s="18">
        <v>0</v>
      </c>
      <c r="AB99" s="18">
        <v>0</v>
      </c>
      <c r="AC99" s="18">
        <v>0</v>
      </c>
      <c r="AD99" s="18">
        <v>0</v>
      </c>
      <c r="AE99" s="18">
        <v>0</v>
      </c>
      <c r="AF99" s="18">
        <v>0</v>
      </c>
      <c r="AG99" s="18">
        <v>0</v>
      </c>
      <c r="AH99" s="18">
        <v>0.11712422663164289</v>
      </c>
      <c r="AI99" s="18">
        <v>0.27126539891193679</v>
      </c>
      <c r="AJ99" s="18">
        <v>0</v>
      </c>
      <c r="AK99" s="18">
        <v>0.30199330787368073</v>
      </c>
      <c r="AL99" s="18">
        <v>0.69038293341726042</v>
      </c>
      <c r="AM99" s="18">
        <v>2.2130193584558375</v>
      </c>
      <c r="AN99" s="18">
        <v>0.51991190439586132</v>
      </c>
      <c r="AO99" s="18">
        <v>0</v>
      </c>
      <c r="AP99" s="18">
        <v>0</v>
      </c>
      <c r="AQ99" s="18">
        <v>2.7329312628516989</v>
      </c>
      <c r="AR99" s="18">
        <v>0.11712422663164289</v>
      </c>
      <c r="AS99" s="599">
        <v>23.333612024152789</v>
      </c>
      <c r="AT99" s="18">
        <v>2.2130193584558375</v>
      </c>
      <c r="AU99" s="18">
        <v>0.61542083907898792</v>
      </c>
      <c r="AV99" s="18">
        <v>0</v>
      </c>
      <c r="AW99" s="18">
        <v>0</v>
      </c>
      <c r="AX99" s="18">
        <v>2.8284401975348255</v>
      </c>
      <c r="AY99" s="18">
        <v>0.27126539891193679</v>
      </c>
      <c r="AZ99" s="599">
        <v>10.426837366209931</v>
      </c>
      <c r="BA99" s="18">
        <v>2.2130193584558375</v>
      </c>
      <c r="BB99" s="18">
        <v>1.1353327434748492</v>
      </c>
      <c r="BC99" s="18">
        <v>0</v>
      </c>
      <c r="BD99" s="18">
        <v>0</v>
      </c>
      <c r="BE99" s="18">
        <v>3.3483521019306868</v>
      </c>
      <c r="BF99" s="18">
        <v>0.3883896255435797</v>
      </c>
      <c r="BG99" s="18">
        <v>-12.790333463282392</v>
      </c>
      <c r="BH99" s="599">
        <v>8.621116223803412</v>
      </c>
      <c r="BI99" s="18">
        <v>2.005585002773421</v>
      </c>
      <c r="BJ99" s="18">
        <v>4.6450323001078218</v>
      </c>
      <c r="BK99" s="18">
        <v>0</v>
      </c>
      <c r="BL99" s="18">
        <v>5.17120382885635</v>
      </c>
      <c r="BM99" s="18">
        <v>11.821821131737593</v>
      </c>
      <c r="BN99" s="18">
        <v>2.2130193584558375</v>
      </c>
      <c r="BO99" s="18">
        <v>0</v>
      </c>
      <c r="BP99" s="18">
        <v>1.1353327434748492</v>
      </c>
      <c r="BQ99" s="18">
        <v>0</v>
      </c>
      <c r="BR99" s="18">
        <v>0</v>
      </c>
      <c r="BS99" s="18">
        <v>0</v>
      </c>
      <c r="BT99" s="18">
        <v>0</v>
      </c>
      <c r="BU99" s="18">
        <v>0</v>
      </c>
      <c r="BV99" s="18">
        <v>0</v>
      </c>
      <c r="BW99" s="18">
        <v>0</v>
      </c>
      <c r="BX99" s="18">
        <v>0.60008363093884765</v>
      </c>
      <c r="BY99" s="18">
        <v>9.0299302478412752E-2</v>
      </c>
      <c r="BZ99" s="18">
        <v>0</v>
      </c>
      <c r="CA99" s="18">
        <v>0</v>
      </c>
      <c r="CB99" s="18">
        <v>3.3483521019306868</v>
      </c>
      <c r="CC99" s="18">
        <v>0.69038293341726042</v>
      </c>
      <c r="CD99" s="599">
        <v>4.8499925763764162</v>
      </c>
      <c r="CE99" s="18">
        <v>-7.6191296344260442</v>
      </c>
      <c r="CF99" s="18">
        <v>4.0822938081181877E-2</v>
      </c>
      <c r="CG99" s="18">
        <v>0</v>
      </c>
      <c r="CH99" s="18">
        <v>4.0822938081181877E-2</v>
      </c>
      <c r="CI99" s="18">
        <v>2.0411239887736816E-3</v>
      </c>
      <c r="CJ99" s="18">
        <v>0</v>
      </c>
      <c r="CK99" s="18">
        <v>2.0411239887736816E-3</v>
      </c>
      <c r="CL99" s="18"/>
      <c r="CM99" s="18">
        <v>0</v>
      </c>
      <c r="CN99" s="18"/>
      <c r="CO99" s="18">
        <v>0</v>
      </c>
      <c r="CP99" s="18">
        <v>0</v>
      </c>
      <c r="CQ99" s="18">
        <v>0</v>
      </c>
      <c r="CR99" s="18">
        <v>0</v>
      </c>
      <c r="CS99" s="18">
        <v>0</v>
      </c>
      <c r="CT99" s="18">
        <v>0</v>
      </c>
      <c r="CU99" s="18">
        <v>0</v>
      </c>
      <c r="CV99" s="18">
        <v>9999</v>
      </c>
      <c r="CW99" s="599">
        <v>9999</v>
      </c>
    </row>
    <row r="100" spans="1:101">
      <c r="A100" t="s">
        <v>575</v>
      </c>
      <c r="C100" s="18">
        <v>15</v>
      </c>
      <c r="D100" s="18">
        <v>4</v>
      </c>
      <c r="E100" s="18">
        <v>0</v>
      </c>
      <c r="F100" s="18">
        <v>0.45149651239206373</v>
      </c>
      <c r="G100" s="18">
        <v>0</v>
      </c>
      <c r="H100" s="18">
        <v>0</v>
      </c>
      <c r="I100" s="18"/>
      <c r="J100" s="18"/>
      <c r="K100" s="18"/>
      <c r="L100" s="18">
        <v>4.297103134260384</v>
      </c>
      <c r="M100" s="18">
        <v>1.4713856900822407E-3</v>
      </c>
      <c r="N100" s="18">
        <v>1.4607658880046906E-3</v>
      </c>
      <c r="O100" s="18">
        <v>0</v>
      </c>
      <c r="P100" s="18">
        <v>0</v>
      </c>
      <c r="Q100" s="18">
        <v>0</v>
      </c>
      <c r="R100" s="18">
        <v>9.003443588811906E-2</v>
      </c>
      <c r="S100" s="18">
        <v>0.20805588717704784</v>
      </c>
      <c r="T100" s="18">
        <v>0</v>
      </c>
      <c r="U100" s="18">
        <v>0.30199330787368073</v>
      </c>
      <c r="V100" s="18">
        <v>2.7089790743523825E-2</v>
      </c>
      <c r="W100" s="18">
        <v>6.3209511734888923E-2</v>
      </c>
      <c r="X100" s="18">
        <v>0</v>
      </c>
      <c r="Y100" s="18">
        <v>0</v>
      </c>
      <c r="Z100" s="18">
        <v>0</v>
      </c>
      <c r="AA100" s="18">
        <v>0</v>
      </c>
      <c r="AB100" s="18">
        <v>0</v>
      </c>
      <c r="AC100" s="18">
        <v>0</v>
      </c>
      <c r="AD100" s="18">
        <v>0</v>
      </c>
      <c r="AE100" s="18">
        <v>0</v>
      </c>
      <c r="AF100" s="18">
        <v>0</v>
      </c>
      <c r="AG100" s="18">
        <v>0</v>
      </c>
      <c r="AH100" s="18">
        <v>0.11712422663164289</v>
      </c>
      <c r="AI100" s="18">
        <v>0.27126539891193679</v>
      </c>
      <c r="AJ100" s="18">
        <v>0</v>
      </c>
      <c r="AK100" s="18">
        <v>0.30199330787368073</v>
      </c>
      <c r="AL100" s="18">
        <v>0.69038293341726042</v>
      </c>
      <c r="AM100" s="18">
        <v>2.2130193584558375</v>
      </c>
      <c r="AN100" s="18">
        <v>0.51991190439586132</v>
      </c>
      <c r="AO100" s="18">
        <v>0</v>
      </c>
      <c r="AP100" s="18">
        <v>0</v>
      </c>
      <c r="AQ100" s="18">
        <v>2.7329312628516989</v>
      </c>
      <c r="AR100" s="18">
        <v>0.11712422663164289</v>
      </c>
      <c r="AS100" s="599">
        <v>23.333612024152789</v>
      </c>
      <c r="AT100" s="18">
        <v>2.2130193584558375</v>
      </c>
      <c r="AU100" s="18">
        <v>0.61542083907898792</v>
      </c>
      <c r="AV100" s="18">
        <v>0</v>
      </c>
      <c r="AW100" s="18">
        <v>0</v>
      </c>
      <c r="AX100" s="18">
        <v>2.8284401975348255</v>
      </c>
      <c r="AY100" s="18">
        <v>0.27126539891193679</v>
      </c>
      <c r="AZ100" s="599">
        <v>10.426837366209931</v>
      </c>
      <c r="BA100" s="18">
        <v>2.2130193584558375</v>
      </c>
      <c r="BB100" s="18">
        <v>1.1353327434748492</v>
      </c>
      <c r="BC100" s="18">
        <v>0</v>
      </c>
      <c r="BD100" s="18">
        <v>0</v>
      </c>
      <c r="BE100" s="18">
        <v>3.3483521019306868</v>
      </c>
      <c r="BF100" s="18">
        <v>0.3883896255435797</v>
      </c>
      <c r="BG100" s="18">
        <v>-12.790333463282392</v>
      </c>
      <c r="BH100" s="599">
        <v>8.621116223803412</v>
      </c>
      <c r="BI100" s="18">
        <v>2.005585002773421</v>
      </c>
      <c r="BJ100" s="18">
        <v>4.6450323001078218</v>
      </c>
      <c r="BK100" s="18">
        <v>0</v>
      </c>
      <c r="BL100" s="18">
        <v>5.17120382885635</v>
      </c>
      <c r="BM100" s="18">
        <v>11.821821131737593</v>
      </c>
      <c r="BN100" s="18">
        <v>2.2130193584558375</v>
      </c>
      <c r="BO100" s="18">
        <v>0</v>
      </c>
      <c r="BP100" s="18">
        <v>1.1353327434748492</v>
      </c>
      <c r="BQ100" s="18">
        <v>0</v>
      </c>
      <c r="BR100" s="18">
        <v>0</v>
      </c>
      <c r="BS100" s="18">
        <v>0</v>
      </c>
      <c r="BT100" s="18">
        <v>0</v>
      </c>
      <c r="BU100" s="18">
        <v>0</v>
      </c>
      <c r="BV100" s="18">
        <v>0</v>
      </c>
      <c r="BW100" s="18">
        <v>0</v>
      </c>
      <c r="BX100" s="18">
        <v>0.60008363093884765</v>
      </c>
      <c r="BY100" s="18">
        <v>9.0299302478412752E-2</v>
      </c>
      <c r="BZ100" s="18">
        <v>0</v>
      </c>
      <c r="CA100" s="18">
        <v>0</v>
      </c>
      <c r="CB100" s="18">
        <v>3.3483521019306868</v>
      </c>
      <c r="CC100" s="18">
        <v>0.69038293341726042</v>
      </c>
      <c r="CD100" s="599">
        <v>4.8499925763764162</v>
      </c>
      <c r="CE100" s="18">
        <v>-7.6191296344260442</v>
      </c>
      <c r="CF100" s="18">
        <v>4.0822938081181877E-2</v>
      </c>
      <c r="CG100" s="18">
        <v>0</v>
      </c>
      <c r="CH100" s="18">
        <v>4.0822938081181877E-2</v>
      </c>
      <c r="CI100" s="18">
        <v>2.0411239887736816E-3</v>
      </c>
      <c r="CJ100" s="18">
        <v>0</v>
      </c>
      <c r="CK100" s="18">
        <v>2.0411239887736816E-3</v>
      </c>
      <c r="CL100" s="18"/>
      <c r="CM100" s="18">
        <v>0</v>
      </c>
      <c r="CN100" s="18"/>
      <c r="CO100" s="18">
        <v>0</v>
      </c>
      <c r="CP100" s="18">
        <v>0</v>
      </c>
      <c r="CQ100" s="18">
        <v>0</v>
      </c>
      <c r="CR100" s="18">
        <v>0</v>
      </c>
      <c r="CS100" s="18">
        <v>0</v>
      </c>
      <c r="CT100" s="18">
        <v>0</v>
      </c>
      <c r="CU100" s="18">
        <v>0</v>
      </c>
      <c r="CV100" s="18">
        <v>9999</v>
      </c>
      <c r="CW100" s="599">
        <v>9999</v>
      </c>
    </row>
    <row r="101" spans="1:101">
      <c r="A101" t="s">
        <v>552</v>
      </c>
      <c r="C101" s="18">
        <v>14.999999999999998</v>
      </c>
      <c r="D101" s="18">
        <v>4.8885865216023019</v>
      </c>
      <c r="E101" s="18">
        <v>0</v>
      </c>
      <c r="F101" s="18">
        <v>0.59537840461596525</v>
      </c>
      <c r="G101" s="18">
        <v>0</v>
      </c>
      <c r="H101" s="18">
        <v>0</v>
      </c>
      <c r="I101" s="18"/>
      <c r="J101" s="18"/>
      <c r="K101" s="18"/>
      <c r="L101" s="18">
        <v>5.2516901160200797</v>
      </c>
      <c r="M101" s="18">
        <v>1.7982490631536358E-3</v>
      </c>
      <c r="N101" s="18">
        <v>1.785270107829037E-3</v>
      </c>
      <c r="O101" s="18">
        <v>0</v>
      </c>
      <c r="P101" s="18">
        <v>0</v>
      </c>
      <c r="Q101" s="18">
        <v>0</v>
      </c>
      <c r="R101" s="18">
        <v>0.11872640724413483</v>
      </c>
      <c r="S101" s="18">
        <v>0.27435866895659194</v>
      </c>
      <c r="T101" s="18">
        <v>0</v>
      </c>
      <c r="U101" s="18">
        <v>0.39823185542216949</v>
      </c>
      <c r="V101" s="18">
        <v>3.5722704276957916E-2</v>
      </c>
      <c r="W101" s="18">
        <v>8.335297664623513E-2</v>
      </c>
      <c r="X101" s="18">
        <v>0</v>
      </c>
      <c r="Y101" s="18">
        <v>0</v>
      </c>
      <c r="Z101" s="18">
        <v>0</v>
      </c>
      <c r="AA101" s="18">
        <v>0</v>
      </c>
      <c r="AB101" s="18">
        <v>0</v>
      </c>
      <c r="AC101" s="18">
        <v>0</v>
      </c>
      <c r="AD101" s="18">
        <v>0</v>
      </c>
      <c r="AE101" s="18">
        <v>0</v>
      </c>
      <c r="AF101" s="18">
        <v>0</v>
      </c>
      <c r="AG101" s="18">
        <v>0</v>
      </c>
      <c r="AH101" s="18">
        <v>0.15444911152109275</v>
      </c>
      <c r="AI101" s="18">
        <v>0.35771164560282709</v>
      </c>
      <c r="AJ101" s="18">
        <v>0</v>
      </c>
      <c r="AK101" s="18">
        <v>0.39823185542216949</v>
      </c>
      <c r="AL101" s="18">
        <v>0.91039261254608939</v>
      </c>
      <c r="AM101" s="18">
        <v>2.7046341519480439</v>
      </c>
      <c r="AN101" s="18">
        <v>0.63540858206254824</v>
      </c>
      <c r="AO101" s="18">
        <v>0</v>
      </c>
      <c r="AP101" s="18">
        <v>0</v>
      </c>
      <c r="AQ101" s="18">
        <v>3.3400427340105923</v>
      </c>
      <c r="AR101" s="18">
        <v>0.15444911152109275</v>
      </c>
      <c r="AS101" s="599">
        <v>21.625522485148451</v>
      </c>
      <c r="AT101" s="18">
        <v>2.7046341519480439</v>
      </c>
      <c r="AU101" s="18">
        <v>0.75213450475867993</v>
      </c>
      <c r="AV101" s="18">
        <v>0</v>
      </c>
      <c r="AW101" s="18">
        <v>0</v>
      </c>
      <c r="AX101" s="18">
        <v>3.456768656706724</v>
      </c>
      <c r="AY101" s="18">
        <v>0.35771164560282709</v>
      </c>
      <c r="AZ101" s="599">
        <v>9.6635619756837023</v>
      </c>
      <c r="BA101" s="18">
        <v>2.7046341519480439</v>
      </c>
      <c r="BB101" s="18">
        <v>1.3875430868212282</v>
      </c>
      <c r="BC101" s="18">
        <v>0</v>
      </c>
      <c r="BD101" s="18">
        <v>0</v>
      </c>
      <c r="BE101" s="18">
        <v>4.0921772387692723</v>
      </c>
      <c r="BF101" s="18">
        <v>0.51216075712391973</v>
      </c>
      <c r="BG101" s="18">
        <v>-12.265035179702243</v>
      </c>
      <c r="BH101" s="599">
        <v>7.9900249713570899</v>
      </c>
      <c r="BI101" s="18">
        <v>2.1639959158588229</v>
      </c>
      <c r="BJ101" s="18">
        <v>5.0119196706025813</v>
      </c>
      <c r="BK101" s="18">
        <v>0</v>
      </c>
      <c r="BL101" s="18">
        <v>5.5796508002622325</v>
      </c>
      <c r="BM101" s="18">
        <v>12.755566386723636</v>
      </c>
      <c r="BN101" s="18">
        <v>2.7046341519480439</v>
      </c>
      <c r="BO101" s="18">
        <v>0</v>
      </c>
      <c r="BP101" s="18">
        <v>1.3875430868212282</v>
      </c>
      <c r="BQ101" s="18">
        <v>0</v>
      </c>
      <c r="BR101" s="18">
        <v>0</v>
      </c>
      <c r="BS101" s="18">
        <v>0</v>
      </c>
      <c r="BT101" s="18">
        <v>0</v>
      </c>
      <c r="BU101" s="18">
        <v>0</v>
      </c>
      <c r="BV101" s="18">
        <v>0</v>
      </c>
      <c r="BW101" s="18">
        <v>0</v>
      </c>
      <c r="BX101" s="18">
        <v>0.79131693162289629</v>
      </c>
      <c r="BY101" s="18">
        <v>0.11907568092319305</v>
      </c>
      <c r="BZ101" s="18">
        <v>0</v>
      </c>
      <c r="CA101" s="18">
        <v>0</v>
      </c>
      <c r="CB101" s="18">
        <v>4.0921772387692723</v>
      </c>
      <c r="CC101" s="18">
        <v>0.91039261254608939</v>
      </c>
      <c r="CD101" s="599">
        <v>4.494958748978318</v>
      </c>
      <c r="CE101" s="18">
        <v>-6.6853843794400083</v>
      </c>
      <c r="CF101" s="18">
        <v>4.9891616218967767E-2</v>
      </c>
      <c r="CG101" s="18">
        <v>0</v>
      </c>
      <c r="CH101" s="18">
        <v>4.9891616218967767E-2</v>
      </c>
      <c r="CI101" s="18">
        <v>2.4945528051095373E-3</v>
      </c>
      <c r="CJ101" s="18">
        <v>0</v>
      </c>
      <c r="CK101" s="18">
        <v>2.4945528051095373E-3</v>
      </c>
      <c r="CL101" s="18"/>
      <c r="CM101" s="18">
        <v>0</v>
      </c>
      <c r="CN101" s="18"/>
      <c r="CO101" s="18">
        <v>0</v>
      </c>
      <c r="CP101" s="18">
        <v>0</v>
      </c>
      <c r="CQ101" s="18">
        <v>0</v>
      </c>
      <c r="CR101" s="18">
        <v>0</v>
      </c>
      <c r="CS101" s="18">
        <v>0</v>
      </c>
      <c r="CT101" s="18">
        <v>0</v>
      </c>
      <c r="CU101" s="18">
        <v>0</v>
      </c>
      <c r="CV101" s="18">
        <v>9999</v>
      </c>
      <c r="CW101" s="599">
        <v>9999</v>
      </c>
    </row>
    <row r="102" spans="1:101">
      <c r="A102" t="s">
        <v>559</v>
      </c>
      <c r="C102" s="18">
        <v>14.999999999999998</v>
      </c>
      <c r="D102" s="18">
        <v>4.8885865216023019</v>
      </c>
      <c r="E102" s="18">
        <v>0</v>
      </c>
      <c r="F102" s="18">
        <v>0.59537840461596525</v>
      </c>
      <c r="G102" s="18">
        <v>0</v>
      </c>
      <c r="H102" s="18">
        <v>0</v>
      </c>
      <c r="I102" s="18"/>
      <c r="J102" s="18"/>
      <c r="K102" s="18"/>
      <c r="L102" s="18">
        <v>5.2516901160200797</v>
      </c>
      <c r="M102" s="18">
        <v>1.7982490631536358E-3</v>
      </c>
      <c r="N102" s="18">
        <v>1.785270107829037E-3</v>
      </c>
      <c r="O102" s="18">
        <v>0</v>
      </c>
      <c r="P102" s="18">
        <v>0</v>
      </c>
      <c r="Q102" s="18">
        <v>0</v>
      </c>
      <c r="R102" s="18">
        <v>0.11872640724413483</v>
      </c>
      <c r="S102" s="18">
        <v>0.27435866895659194</v>
      </c>
      <c r="T102" s="18">
        <v>0</v>
      </c>
      <c r="U102" s="18">
        <v>0.39823185542216949</v>
      </c>
      <c r="V102" s="18">
        <v>3.5722704276957916E-2</v>
      </c>
      <c r="W102" s="18">
        <v>8.335297664623513E-2</v>
      </c>
      <c r="X102" s="18">
        <v>0</v>
      </c>
      <c r="Y102" s="18">
        <v>0</v>
      </c>
      <c r="Z102" s="18">
        <v>0</v>
      </c>
      <c r="AA102" s="18">
        <v>0</v>
      </c>
      <c r="AB102" s="18">
        <v>0</v>
      </c>
      <c r="AC102" s="18">
        <v>0</v>
      </c>
      <c r="AD102" s="18">
        <v>0</v>
      </c>
      <c r="AE102" s="18">
        <v>0</v>
      </c>
      <c r="AF102" s="18">
        <v>0</v>
      </c>
      <c r="AG102" s="18">
        <v>0</v>
      </c>
      <c r="AH102" s="18">
        <v>0.15444911152109275</v>
      </c>
      <c r="AI102" s="18">
        <v>0.35771164560282709</v>
      </c>
      <c r="AJ102" s="18">
        <v>0</v>
      </c>
      <c r="AK102" s="18">
        <v>0.39823185542216949</v>
      </c>
      <c r="AL102" s="18">
        <v>0.91039261254608939</v>
      </c>
      <c r="AM102" s="18">
        <v>2.7046341519480439</v>
      </c>
      <c r="AN102" s="18">
        <v>0.63540858206254824</v>
      </c>
      <c r="AO102" s="18">
        <v>0</v>
      </c>
      <c r="AP102" s="18">
        <v>0</v>
      </c>
      <c r="AQ102" s="18">
        <v>3.3400427340105923</v>
      </c>
      <c r="AR102" s="18">
        <v>0.15444911152109275</v>
      </c>
      <c r="AS102" s="599">
        <v>21.625522485148451</v>
      </c>
      <c r="AT102" s="18">
        <v>2.7046341519480439</v>
      </c>
      <c r="AU102" s="18">
        <v>0.75213450475867993</v>
      </c>
      <c r="AV102" s="18">
        <v>0</v>
      </c>
      <c r="AW102" s="18">
        <v>0</v>
      </c>
      <c r="AX102" s="18">
        <v>3.456768656706724</v>
      </c>
      <c r="AY102" s="18">
        <v>0.35771164560282709</v>
      </c>
      <c r="AZ102" s="599">
        <v>9.6635619756837023</v>
      </c>
      <c r="BA102" s="18">
        <v>2.7046341519480439</v>
      </c>
      <c r="BB102" s="18">
        <v>1.3875430868212282</v>
      </c>
      <c r="BC102" s="18">
        <v>0</v>
      </c>
      <c r="BD102" s="18">
        <v>0</v>
      </c>
      <c r="BE102" s="18">
        <v>4.0921772387692723</v>
      </c>
      <c r="BF102" s="18">
        <v>0.51216075712391973</v>
      </c>
      <c r="BG102" s="18">
        <v>-12.265035179702243</v>
      </c>
      <c r="BH102" s="599">
        <v>7.9900249713570899</v>
      </c>
      <c r="BI102" s="18">
        <v>2.1639959158588229</v>
      </c>
      <c r="BJ102" s="18">
        <v>5.0119196706025813</v>
      </c>
      <c r="BK102" s="18">
        <v>0</v>
      </c>
      <c r="BL102" s="18">
        <v>5.5796508002622325</v>
      </c>
      <c r="BM102" s="18">
        <v>12.755566386723636</v>
      </c>
      <c r="BN102" s="18">
        <v>2.7046341519480439</v>
      </c>
      <c r="BO102" s="18">
        <v>0</v>
      </c>
      <c r="BP102" s="18">
        <v>1.3875430868212282</v>
      </c>
      <c r="BQ102" s="18">
        <v>0</v>
      </c>
      <c r="BR102" s="18">
        <v>0</v>
      </c>
      <c r="BS102" s="18">
        <v>0</v>
      </c>
      <c r="BT102" s="18">
        <v>0</v>
      </c>
      <c r="BU102" s="18">
        <v>0</v>
      </c>
      <c r="BV102" s="18">
        <v>0</v>
      </c>
      <c r="BW102" s="18">
        <v>0</v>
      </c>
      <c r="BX102" s="18">
        <v>0.79131693162289629</v>
      </c>
      <c r="BY102" s="18">
        <v>0.11907568092319305</v>
      </c>
      <c r="BZ102" s="18">
        <v>0</v>
      </c>
      <c r="CA102" s="18">
        <v>0</v>
      </c>
      <c r="CB102" s="18">
        <v>4.0921772387692723</v>
      </c>
      <c r="CC102" s="18">
        <v>0.91039261254608939</v>
      </c>
      <c r="CD102" s="599">
        <v>4.494958748978318</v>
      </c>
      <c r="CE102" s="18">
        <v>-6.6853843794400083</v>
      </c>
      <c r="CF102" s="18">
        <v>4.9891616218967767E-2</v>
      </c>
      <c r="CG102" s="18">
        <v>0</v>
      </c>
      <c r="CH102" s="18">
        <v>4.9891616218967767E-2</v>
      </c>
      <c r="CI102" s="18">
        <v>2.4945528051095373E-3</v>
      </c>
      <c r="CJ102" s="18">
        <v>0</v>
      </c>
      <c r="CK102" s="18">
        <v>2.4945528051095373E-3</v>
      </c>
      <c r="CL102" s="18"/>
      <c r="CM102" s="18">
        <v>0</v>
      </c>
      <c r="CN102" s="18"/>
      <c r="CO102" s="18">
        <v>0</v>
      </c>
      <c r="CP102" s="18">
        <v>0</v>
      </c>
      <c r="CQ102" s="18">
        <v>0</v>
      </c>
      <c r="CR102" s="18">
        <v>0</v>
      </c>
      <c r="CS102" s="18">
        <v>0</v>
      </c>
      <c r="CT102" s="18">
        <v>0</v>
      </c>
      <c r="CU102" s="18">
        <v>0</v>
      </c>
      <c r="CV102" s="18">
        <v>9999</v>
      </c>
      <c r="CW102" s="599">
        <v>9999</v>
      </c>
    </row>
    <row r="103" spans="1:101">
      <c r="A103" t="s">
        <v>566</v>
      </c>
      <c r="C103" s="18">
        <v>14.999999999999998</v>
      </c>
      <c r="D103" s="18">
        <v>4.8885865216023019</v>
      </c>
      <c r="E103" s="18">
        <v>0</v>
      </c>
      <c r="F103" s="18">
        <v>0.59537840461596525</v>
      </c>
      <c r="G103" s="18">
        <v>0</v>
      </c>
      <c r="H103" s="18">
        <v>0</v>
      </c>
      <c r="I103" s="18"/>
      <c r="J103" s="18"/>
      <c r="K103" s="18"/>
      <c r="L103" s="18">
        <v>5.2516901160200797</v>
      </c>
      <c r="M103" s="18">
        <v>1.7982490631536358E-3</v>
      </c>
      <c r="N103" s="18">
        <v>1.785270107829037E-3</v>
      </c>
      <c r="O103" s="18">
        <v>0</v>
      </c>
      <c r="P103" s="18">
        <v>0</v>
      </c>
      <c r="Q103" s="18">
        <v>0</v>
      </c>
      <c r="R103" s="18">
        <v>0.11872640724413483</v>
      </c>
      <c r="S103" s="18">
        <v>0.27435866895659194</v>
      </c>
      <c r="T103" s="18">
        <v>0</v>
      </c>
      <c r="U103" s="18">
        <v>0.39823185542216949</v>
      </c>
      <c r="V103" s="18">
        <v>3.5722704276957916E-2</v>
      </c>
      <c r="W103" s="18">
        <v>8.335297664623513E-2</v>
      </c>
      <c r="X103" s="18">
        <v>0</v>
      </c>
      <c r="Y103" s="18">
        <v>0</v>
      </c>
      <c r="Z103" s="18">
        <v>0</v>
      </c>
      <c r="AA103" s="18">
        <v>0</v>
      </c>
      <c r="AB103" s="18">
        <v>0</v>
      </c>
      <c r="AC103" s="18">
        <v>0</v>
      </c>
      <c r="AD103" s="18">
        <v>0</v>
      </c>
      <c r="AE103" s="18">
        <v>0</v>
      </c>
      <c r="AF103" s="18">
        <v>0</v>
      </c>
      <c r="AG103" s="18">
        <v>0</v>
      </c>
      <c r="AH103" s="18">
        <v>0.15444911152109275</v>
      </c>
      <c r="AI103" s="18">
        <v>0.35771164560282709</v>
      </c>
      <c r="AJ103" s="18">
        <v>0</v>
      </c>
      <c r="AK103" s="18">
        <v>0.39823185542216949</v>
      </c>
      <c r="AL103" s="18">
        <v>0.91039261254608939</v>
      </c>
      <c r="AM103" s="18">
        <v>2.7046341519480439</v>
      </c>
      <c r="AN103" s="18">
        <v>0.63540858206254824</v>
      </c>
      <c r="AO103" s="18">
        <v>0</v>
      </c>
      <c r="AP103" s="18">
        <v>0</v>
      </c>
      <c r="AQ103" s="18">
        <v>3.3400427340105923</v>
      </c>
      <c r="AR103" s="18">
        <v>0.15444911152109275</v>
      </c>
      <c r="AS103" s="599">
        <v>21.625522485148451</v>
      </c>
      <c r="AT103" s="18">
        <v>2.7046341519480439</v>
      </c>
      <c r="AU103" s="18">
        <v>0.75213450475867993</v>
      </c>
      <c r="AV103" s="18">
        <v>0</v>
      </c>
      <c r="AW103" s="18">
        <v>0</v>
      </c>
      <c r="AX103" s="18">
        <v>3.456768656706724</v>
      </c>
      <c r="AY103" s="18">
        <v>0.35771164560282709</v>
      </c>
      <c r="AZ103" s="599">
        <v>9.6635619756837023</v>
      </c>
      <c r="BA103" s="18">
        <v>2.7046341519480439</v>
      </c>
      <c r="BB103" s="18">
        <v>1.3875430868212282</v>
      </c>
      <c r="BC103" s="18">
        <v>0</v>
      </c>
      <c r="BD103" s="18">
        <v>0</v>
      </c>
      <c r="BE103" s="18">
        <v>4.0921772387692723</v>
      </c>
      <c r="BF103" s="18">
        <v>0.51216075712391973</v>
      </c>
      <c r="BG103" s="18">
        <v>-12.265035179702243</v>
      </c>
      <c r="BH103" s="599">
        <v>7.9900249713570899</v>
      </c>
      <c r="BI103" s="18">
        <v>2.1639959158588229</v>
      </c>
      <c r="BJ103" s="18">
        <v>5.0119196706025813</v>
      </c>
      <c r="BK103" s="18">
        <v>0</v>
      </c>
      <c r="BL103" s="18">
        <v>5.5796508002622325</v>
      </c>
      <c r="BM103" s="18">
        <v>12.755566386723636</v>
      </c>
      <c r="BN103" s="18">
        <v>2.7046341519480439</v>
      </c>
      <c r="BO103" s="18">
        <v>0</v>
      </c>
      <c r="BP103" s="18">
        <v>1.3875430868212282</v>
      </c>
      <c r="BQ103" s="18">
        <v>0</v>
      </c>
      <c r="BR103" s="18">
        <v>0</v>
      </c>
      <c r="BS103" s="18">
        <v>0</v>
      </c>
      <c r="BT103" s="18">
        <v>0</v>
      </c>
      <c r="BU103" s="18">
        <v>0</v>
      </c>
      <c r="BV103" s="18">
        <v>0</v>
      </c>
      <c r="BW103" s="18">
        <v>0</v>
      </c>
      <c r="BX103" s="18">
        <v>0.79131693162289629</v>
      </c>
      <c r="BY103" s="18">
        <v>0.11907568092319305</v>
      </c>
      <c r="BZ103" s="18">
        <v>0</v>
      </c>
      <c r="CA103" s="18">
        <v>0</v>
      </c>
      <c r="CB103" s="18">
        <v>4.0921772387692723</v>
      </c>
      <c r="CC103" s="18">
        <v>0.91039261254608939</v>
      </c>
      <c r="CD103" s="599">
        <v>4.494958748978318</v>
      </c>
      <c r="CE103" s="18">
        <v>-6.6853843794400083</v>
      </c>
      <c r="CF103" s="18">
        <v>4.9891616218967767E-2</v>
      </c>
      <c r="CG103" s="18">
        <v>0</v>
      </c>
      <c r="CH103" s="18">
        <v>4.9891616218967767E-2</v>
      </c>
      <c r="CI103" s="18">
        <v>2.4945528051095373E-3</v>
      </c>
      <c r="CJ103" s="18">
        <v>0</v>
      </c>
      <c r="CK103" s="18">
        <v>2.4945528051095373E-3</v>
      </c>
      <c r="CL103" s="18"/>
      <c r="CM103" s="18">
        <v>0</v>
      </c>
      <c r="CN103" s="18"/>
      <c r="CO103" s="18">
        <v>0</v>
      </c>
      <c r="CP103" s="18">
        <v>0</v>
      </c>
      <c r="CQ103" s="18">
        <v>0</v>
      </c>
      <c r="CR103" s="18">
        <v>0</v>
      </c>
      <c r="CS103" s="18">
        <v>0</v>
      </c>
      <c r="CT103" s="18">
        <v>0</v>
      </c>
      <c r="CU103" s="18">
        <v>0</v>
      </c>
      <c r="CV103" s="18">
        <v>9999</v>
      </c>
      <c r="CW103" s="599">
        <v>9999</v>
      </c>
    </row>
    <row r="104" spans="1:101">
      <c r="A104" t="s">
        <v>573</v>
      </c>
      <c r="C104" s="18">
        <v>14.999999999999998</v>
      </c>
      <c r="D104" s="18">
        <v>4.8885865216023019</v>
      </c>
      <c r="E104" s="18">
        <v>0</v>
      </c>
      <c r="F104" s="18">
        <v>0.59537840461596525</v>
      </c>
      <c r="G104" s="18">
        <v>0</v>
      </c>
      <c r="H104" s="18">
        <v>0</v>
      </c>
      <c r="I104" s="18"/>
      <c r="J104" s="18"/>
      <c r="K104" s="18"/>
      <c r="L104" s="18">
        <v>5.2516901160200797</v>
      </c>
      <c r="M104" s="18">
        <v>1.7982490631536358E-3</v>
      </c>
      <c r="N104" s="18">
        <v>1.785270107829037E-3</v>
      </c>
      <c r="O104" s="18">
        <v>0</v>
      </c>
      <c r="P104" s="18">
        <v>0</v>
      </c>
      <c r="Q104" s="18">
        <v>0</v>
      </c>
      <c r="R104" s="18">
        <v>0.11872640724413483</v>
      </c>
      <c r="S104" s="18">
        <v>0.27435866895659194</v>
      </c>
      <c r="T104" s="18">
        <v>0</v>
      </c>
      <c r="U104" s="18">
        <v>0.39823185542216949</v>
      </c>
      <c r="V104" s="18">
        <v>3.5722704276957916E-2</v>
      </c>
      <c r="W104" s="18">
        <v>8.335297664623513E-2</v>
      </c>
      <c r="X104" s="18">
        <v>0</v>
      </c>
      <c r="Y104" s="18">
        <v>0</v>
      </c>
      <c r="Z104" s="18">
        <v>0</v>
      </c>
      <c r="AA104" s="18">
        <v>0</v>
      </c>
      <c r="AB104" s="18">
        <v>0</v>
      </c>
      <c r="AC104" s="18">
        <v>0</v>
      </c>
      <c r="AD104" s="18">
        <v>0</v>
      </c>
      <c r="AE104" s="18">
        <v>0</v>
      </c>
      <c r="AF104" s="18">
        <v>0</v>
      </c>
      <c r="AG104" s="18">
        <v>0</v>
      </c>
      <c r="AH104" s="18">
        <v>0.15444911152109275</v>
      </c>
      <c r="AI104" s="18">
        <v>0.35771164560282709</v>
      </c>
      <c r="AJ104" s="18">
        <v>0</v>
      </c>
      <c r="AK104" s="18">
        <v>0.39823185542216949</v>
      </c>
      <c r="AL104" s="18">
        <v>0.91039261254608939</v>
      </c>
      <c r="AM104" s="18">
        <v>2.7046341519480439</v>
      </c>
      <c r="AN104" s="18">
        <v>0.63540858206254824</v>
      </c>
      <c r="AO104" s="18">
        <v>0</v>
      </c>
      <c r="AP104" s="18">
        <v>0</v>
      </c>
      <c r="AQ104" s="18">
        <v>3.3400427340105923</v>
      </c>
      <c r="AR104" s="18">
        <v>0.15444911152109275</v>
      </c>
      <c r="AS104" s="599">
        <v>21.625522485148451</v>
      </c>
      <c r="AT104" s="18">
        <v>2.7046341519480439</v>
      </c>
      <c r="AU104" s="18">
        <v>0.75213450475867993</v>
      </c>
      <c r="AV104" s="18">
        <v>0</v>
      </c>
      <c r="AW104" s="18">
        <v>0</v>
      </c>
      <c r="AX104" s="18">
        <v>3.456768656706724</v>
      </c>
      <c r="AY104" s="18">
        <v>0.35771164560282709</v>
      </c>
      <c r="AZ104" s="599">
        <v>9.6635619756837023</v>
      </c>
      <c r="BA104" s="18">
        <v>2.7046341519480439</v>
      </c>
      <c r="BB104" s="18">
        <v>1.3875430868212282</v>
      </c>
      <c r="BC104" s="18">
        <v>0</v>
      </c>
      <c r="BD104" s="18">
        <v>0</v>
      </c>
      <c r="BE104" s="18">
        <v>4.0921772387692723</v>
      </c>
      <c r="BF104" s="18">
        <v>0.51216075712391973</v>
      </c>
      <c r="BG104" s="18">
        <v>-12.265035179702243</v>
      </c>
      <c r="BH104" s="599">
        <v>7.9900249713570899</v>
      </c>
      <c r="BI104" s="18">
        <v>2.1639959158588229</v>
      </c>
      <c r="BJ104" s="18">
        <v>5.0119196706025813</v>
      </c>
      <c r="BK104" s="18">
        <v>0</v>
      </c>
      <c r="BL104" s="18">
        <v>5.5796508002622325</v>
      </c>
      <c r="BM104" s="18">
        <v>12.755566386723636</v>
      </c>
      <c r="BN104" s="18">
        <v>2.7046341519480439</v>
      </c>
      <c r="BO104" s="18">
        <v>0</v>
      </c>
      <c r="BP104" s="18">
        <v>1.3875430868212282</v>
      </c>
      <c r="BQ104" s="18">
        <v>0</v>
      </c>
      <c r="BR104" s="18">
        <v>0</v>
      </c>
      <c r="BS104" s="18">
        <v>0</v>
      </c>
      <c r="BT104" s="18">
        <v>0</v>
      </c>
      <c r="BU104" s="18">
        <v>0</v>
      </c>
      <c r="BV104" s="18">
        <v>0</v>
      </c>
      <c r="BW104" s="18">
        <v>0</v>
      </c>
      <c r="BX104" s="18">
        <v>0.79131693162289629</v>
      </c>
      <c r="BY104" s="18">
        <v>0.11907568092319305</v>
      </c>
      <c r="BZ104" s="18">
        <v>0</v>
      </c>
      <c r="CA104" s="18">
        <v>0</v>
      </c>
      <c r="CB104" s="18">
        <v>4.0921772387692723</v>
      </c>
      <c r="CC104" s="18">
        <v>0.91039261254608939</v>
      </c>
      <c r="CD104" s="599">
        <v>4.494958748978318</v>
      </c>
      <c r="CE104" s="18">
        <v>-6.6853843794400083</v>
      </c>
      <c r="CF104" s="18">
        <v>4.9891616218967767E-2</v>
      </c>
      <c r="CG104" s="18">
        <v>0</v>
      </c>
      <c r="CH104" s="18">
        <v>4.9891616218967767E-2</v>
      </c>
      <c r="CI104" s="18">
        <v>2.4945528051095373E-3</v>
      </c>
      <c r="CJ104" s="18">
        <v>0</v>
      </c>
      <c r="CK104" s="18">
        <v>2.4945528051095373E-3</v>
      </c>
      <c r="CL104" s="18"/>
      <c r="CM104" s="18">
        <v>0</v>
      </c>
      <c r="CN104" s="18"/>
      <c r="CO104" s="18">
        <v>0</v>
      </c>
      <c r="CP104" s="18">
        <v>0</v>
      </c>
      <c r="CQ104" s="18">
        <v>0</v>
      </c>
      <c r="CR104" s="18">
        <v>0</v>
      </c>
      <c r="CS104" s="18">
        <v>0</v>
      </c>
      <c r="CT104" s="18">
        <v>0</v>
      </c>
      <c r="CU104" s="18">
        <v>0</v>
      </c>
      <c r="CV104" s="18">
        <v>9999</v>
      </c>
      <c r="CW104" s="599">
        <v>9999</v>
      </c>
    </row>
    <row r="105" spans="1:101">
      <c r="A105" t="s">
        <v>553</v>
      </c>
      <c r="C105" s="18">
        <v>14.999999999999998</v>
      </c>
      <c r="D105" s="18">
        <v>5.173293534972041</v>
      </c>
      <c r="E105" s="18">
        <v>0</v>
      </c>
      <c r="F105" s="18">
        <v>0.63250552514432767</v>
      </c>
      <c r="G105" s="18">
        <v>0</v>
      </c>
      <c r="H105" s="18">
        <v>0</v>
      </c>
      <c r="I105" s="18"/>
      <c r="J105" s="18"/>
      <c r="K105" s="18"/>
      <c r="L105" s="18">
        <v>5.5575439658943351</v>
      </c>
      <c r="M105" s="18">
        <v>1.9029775194882078E-3</v>
      </c>
      <c r="N105" s="18">
        <v>1.8892426811305896E-3</v>
      </c>
      <c r="O105" s="18">
        <v>0</v>
      </c>
      <c r="P105" s="18">
        <v>0</v>
      </c>
      <c r="Q105" s="18">
        <v>0</v>
      </c>
      <c r="R105" s="18">
        <v>0.12613005104021052</v>
      </c>
      <c r="S105" s="18">
        <v>0.2914673636814582</v>
      </c>
      <c r="T105" s="18">
        <v>0</v>
      </c>
      <c r="U105" s="18">
        <v>0.42306514124487105</v>
      </c>
      <c r="V105" s="18">
        <v>3.795033150865966E-2</v>
      </c>
      <c r="W105" s="18">
        <v>8.8550773520205878E-2</v>
      </c>
      <c r="X105" s="18">
        <v>0</v>
      </c>
      <c r="Y105" s="18">
        <v>0</v>
      </c>
      <c r="Z105" s="18">
        <v>0</v>
      </c>
      <c r="AA105" s="18">
        <v>0</v>
      </c>
      <c r="AB105" s="18">
        <v>0</v>
      </c>
      <c r="AC105" s="18">
        <v>0</v>
      </c>
      <c r="AD105" s="18">
        <v>0</v>
      </c>
      <c r="AE105" s="18">
        <v>0</v>
      </c>
      <c r="AF105" s="18">
        <v>0</v>
      </c>
      <c r="AG105" s="18">
        <v>0</v>
      </c>
      <c r="AH105" s="18">
        <v>0.1640803825488702</v>
      </c>
      <c r="AI105" s="18">
        <v>0.38001813720166411</v>
      </c>
      <c r="AJ105" s="18">
        <v>0</v>
      </c>
      <c r="AK105" s="18">
        <v>0.42306514124487105</v>
      </c>
      <c r="AL105" s="18">
        <v>0.96716366099540529</v>
      </c>
      <c r="AM105" s="18">
        <v>2.862149684966889</v>
      </c>
      <c r="AN105" s="18">
        <v>0.67241422344152801</v>
      </c>
      <c r="AO105" s="18">
        <v>0</v>
      </c>
      <c r="AP105" s="18">
        <v>0</v>
      </c>
      <c r="AQ105" s="18">
        <v>3.5345639084084173</v>
      </c>
      <c r="AR105" s="18">
        <v>0.1640803825488702</v>
      </c>
      <c r="AS105" s="599">
        <v>21.541660578196616</v>
      </c>
      <c r="AT105" s="18">
        <v>2.862149684966889</v>
      </c>
      <c r="AU105" s="18">
        <v>0.79593816202359946</v>
      </c>
      <c r="AV105" s="18">
        <v>0</v>
      </c>
      <c r="AW105" s="18">
        <v>0</v>
      </c>
      <c r="AX105" s="18">
        <v>3.6580878469904885</v>
      </c>
      <c r="AY105" s="18">
        <v>0.38001813720166411</v>
      </c>
      <c r="AZ105" s="599">
        <v>9.6260875176314347</v>
      </c>
      <c r="BA105" s="18">
        <v>2.862149684966889</v>
      </c>
      <c r="BB105" s="18">
        <v>1.4683523854651275</v>
      </c>
      <c r="BC105" s="18">
        <v>0</v>
      </c>
      <c r="BD105" s="18">
        <v>0</v>
      </c>
      <c r="BE105" s="18">
        <v>4.3305020704320167</v>
      </c>
      <c r="BF105" s="18">
        <v>0.54409851975053425</v>
      </c>
      <c r="BG105" s="18">
        <v>-12.237099266265041</v>
      </c>
      <c r="BH105" s="599">
        <v>7.9590403451520597</v>
      </c>
      <c r="BI105" s="18">
        <v>2.1724203742928023</v>
      </c>
      <c r="BJ105" s="18">
        <v>5.0314311256058017</v>
      </c>
      <c r="BK105" s="18">
        <v>0</v>
      </c>
      <c r="BL105" s="18">
        <v>5.6013724384124943</v>
      </c>
      <c r="BM105" s="18">
        <v>12.805223938311098</v>
      </c>
      <c r="BN105" s="18">
        <v>2.862149684966889</v>
      </c>
      <c r="BO105" s="18">
        <v>0</v>
      </c>
      <c r="BP105" s="18">
        <v>1.4683523854651275</v>
      </c>
      <c r="BQ105" s="18">
        <v>0</v>
      </c>
      <c r="BR105" s="18">
        <v>0</v>
      </c>
      <c r="BS105" s="18">
        <v>0</v>
      </c>
      <c r="BT105" s="18">
        <v>0</v>
      </c>
      <c r="BU105" s="18">
        <v>0</v>
      </c>
      <c r="BV105" s="18">
        <v>0</v>
      </c>
      <c r="BW105" s="18">
        <v>0</v>
      </c>
      <c r="BX105" s="18">
        <v>0.84066255596653972</v>
      </c>
      <c r="BY105" s="18">
        <v>0.12650110502886555</v>
      </c>
      <c r="BZ105" s="18">
        <v>0</v>
      </c>
      <c r="CA105" s="18">
        <v>0</v>
      </c>
      <c r="CB105" s="18">
        <v>4.3305020704320167</v>
      </c>
      <c r="CC105" s="18">
        <v>0.96716366099540529</v>
      </c>
      <c r="CD105" s="599">
        <v>4.4775276874805883</v>
      </c>
      <c r="CE105" s="18">
        <v>-6.6357268278525448</v>
      </c>
      <c r="CF105" s="18">
        <v>5.2797260413485501E-2</v>
      </c>
      <c r="CG105" s="18">
        <v>0</v>
      </c>
      <c r="CH105" s="18">
        <v>5.2797260413485501E-2</v>
      </c>
      <c r="CI105" s="18">
        <v>2.6398333837998082E-3</v>
      </c>
      <c r="CJ105" s="18">
        <v>0</v>
      </c>
      <c r="CK105" s="18">
        <v>2.6398333837998082E-3</v>
      </c>
      <c r="CL105" s="18"/>
      <c r="CM105" s="18">
        <v>0</v>
      </c>
      <c r="CN105" s="18"/>
      <c r="CO105" s="18">
        <v>0</v>
      </c>
      <c r="CP105" s="18">
        <v>0</v>
      </c>
      <c r="CQ105" s="18">
        <v>0</v>
      </c>
      <c r="CR105" s="18">
        <v>0</v>
      </c>
      <c r="CS105" s="18">
        <v>0</v>
      </c>
      <c r="CT105" s="18">
        <v>0</v>
      </c>
      <c r="CU105" s="18">
        <v>0</v>
      </c>
      <c r="CV105" s="18">
        <v>9999</v>
      </c>
      <c r="CW105" s="599">
        <v>9999</v>
      </c>
    </row>
    <row r="106" spans="1:101">
      <c r="A106" t="s">
        <v>560</v>
      </c>
      <c r="C106" s="18">
        <v>14.999999999999998</v>
      </c>
      <c r="D106" s="18">
        <v>5.173293534972041</v>
      </c>
      <c r="E106" s="18">
        <v>0</v>
      </c>
      <c r="F106" s="18">
        <v>0.63250552514432767</v>
      </c>
      <c r="G106" s="18">
        <v>0</v>
      </c>
      <c r="H106" s="18">
        <v>0</v>
      </c>
      <c r="I106" s="18"/>
      <c r="J106" s="18"/>
      <c r="K106" s="18"/>
      <c r="L106" s="18">
        <v>5.5575439658943351</v>
      </c>
      <c r="M106" s="18">
        <v>1.9029775194882078E-3</v>
      </c>
      <c r="N106" s="18">
        <v>1.8892426811305896E-3</v>
      </c>
      <c r="O106" s="18">
        <v>0</v>
      </c>
      <c r="P106" s="18">
        <v>0</v>
      </c>
      <c r="Q106" s="18">
        <v>0</v>
      </c>
      <c r="R106" s="18">
        <v>0.12613005104021052</v>
      </c>
      <c r="S106" s="18">
        <v>0.2914673636814582</v>
      </c>
      <c r="T106" s="18">
        <v>0</v>
      </c>
      <c r="U106" s="18">
        <v>0.42306514124487105</v>
      </c>
      <c r="V106" s="18">
        <v>3.795033150865966E-2</v>
      </c>
      <c r="W106" s="18">
        <v>8.8550773520205878E-2</v>
      </c>
      <c r="X106" s="18">
        <v>0</v>
      </c>
      <c r="Y106" s="18">
        <v>0</v>
      </c>
      <c r="Z106" s="18">
        <v>0</v>
      </c>
      <c r="AA106" s="18">
        <v>0</v>
      </c>
      <c r="AB106" s="18">
        <v>0</v>
      </c>
      <c r="AC106" s="18">
        <v>0</v>
      </c>
      <c r="AD106" s="18">
        <v>0</v>
      </c>
      <c r="AE106" s="18">
        <v>0</v>
      </c>
      <c r="AF106" s="18">
        <v>0</v>
      </c>
      <c r="AG106" s="18">
        <v>0</v>
      </c>
      <c r="AH106" s="18">
        <v>0.1640803825488702</v>
      </c>
      <c r="AI106" s="18">
        <v>0.38001813720166411</v>
      </c>
      <c r="AJ106" s="18">
        <v>0</v>
      </c>
      <c r="AK106" s="18">
        <v>0.42306514124487105</v>
      </c>
      <c r="AL106" s="18">
        <v>0.96716366099540529</v>
      </c>
      <c r="AM106" s="18">
        <v>2.862149684966889</v>
      </c>
      <c r="AN106" s="18">
        <v>0.67241422344152801</v>
      </c>
      <c r="AO106" s="18">
        <v>0</v>
      </c>
      <c r="AP106" s="18">
        <v>0</v>
      </c>
      <c r="AQ106" s="18">
        <v>3.5345639084084173</v>
      </c>
      <c r="AR106" s="18">
        <v>0.1640803825488702</v>
      </c>
      <c r="AS106" s="599">
        <v>21.541660578196616</v>
      </c>
      <c r="AT106" s="18">
        <v>2.862149684966889</v>
      </c>
      <c r="AU106" s="18">
        <v>0.79593816202359946</v>
      </c>
      <c r="AV106" s="18">
        <v>0</v>
      </c>
      <c r="AW106" s="18">
        <v>0</v>
      </c>
      <c r="AX106" s="18">
        <v>3.6580878469904885</v>
      </c>
      <c r="AY106" s="18">
        <v>0.38001813720166411</v>
      </c>
      <c r="AZ106" s="599">
        <v>9.6260875176314347</v>
      </c>
      <c r="BA106" s="18">
        <v>2.862149684966889</v>
      </c>
      <c r="BB106" s="18">
        <v>1.4683523854651275</v>
      </c>
      <c r="BC106" s="18">
        <v>0</v>
      </c>
      <c r="BD106" s="18">
        <v>0</v>
      </c>
      <c r="BE106" s="18">
        <v>4.3305020704320167</v>
      </c>
      <c r="BF106" s="18">
        <v>0.54409851975053425</v>
      </c>
      <c r="BG106" s="18">
        <v>-12.237099266265041</v>
      </c>
      <c r="BH106" s="599">
        <v>7.9590403451520597</v>
      </c>
      <c r="BI106" s="18">
        <v>2.1724203742928023</v>
      </c>
      <c r="BJ106" s="18">
        <v>5.0314311256058017</v>
      </c>
      <c r="BK106" s="18">
        <v>0</v>
      </c>
      <c r="BL106" s="18">
        <v>5.6013724384124943</v>
      </c>
      <c r="BM106" s="18">
        <v>12.805223938311098</v>
      </c>
      <c r="BN106" s="18">
        <v>2.862149684966889</v>
      </c>
      <c r="BO106" s="18">
        <v>0</v>
      </c>
      <c r="BP106" s="18">
        <v>1.4683523854651275</v>
      </c>
      <c r="BQ106" s="18">
        <v>0</v>
      </c>
      <c r="BR106" s="18">
        <v>0</v>
      </c>
      <c r="BS106" s="18">
        <v>0</v>
      </c>
      <c r="BT106" s="18">
        <v>0</v>
      </c>
      <c r="BU106" s="18">
        <v>0</v>
      </c>
      <c r="BV106" s="18">
        <v>0</v>
      </c>
      <c r="BW106" s="18">
        <v>0</v>
      </c>
      <c r="BX106" s="18">
        <v>0.84066255596653972</v>
      </c>
      <c r="BY106" s="18">
        <v>0.12650110502886555</v>
      </c>
      <c r="BZ106" s="18">
        <v>0</v>
      </c>
      <c r="CA106" s="18">
        <v>0</v>
      </c>
      <c r="CB106" s="18">
        <v>4.3305020704320167</v>
      </c>
      <c r="CC106" s="18">
        <v>0.96716366099540529</v>
      </c>
      <c r="CD106" s="599">
        <v>4.4775276874805883</v>
      </c>
      <c r="CE106" s="18">
        <v>-6.6357268278525448</v>
      </c>
      <c r="CF106" s="18">
        <v>5.2797260413485501E-2</v>
      </c>
      <c r="CG106" s="18">
        <v>0</v>
      </c>
      <c r="CH106" s="18">
        <v>5.2797260413485501E-2</v>
      </c>
      <c r="CI106" s="18">
        <v>2.6398333837998082E-3</v>
      </c>
      <c r="CJ106" s="18">
        <v>0</v>
      </c>
      <c r="CK106" s="18">
        <v>2.6398333837998082E-3</v>
      </c>
      <c r="CL106" s="18"/>
      <c r="CM106" s="18">
        <v>0</v>
      </c>
      <c r="CN106" s="18"/>
      <c r="CO106" s="18">
        <v>0</v>
      </c>
      <c r="CP106" s="18">
        <v>0</v>
      </c>
      <c r="CQ106" s="18">
        <v>0</v>
      </c>
      <c r="CR106" s="18">
        <v>0</v>
      </c>
      <c r="CS106" s="18">
        <v>0</v>
      </c>
      <c r="CT106" s="18">
        <v>0</v>
      </c>
      <c r="CU106" s="18">
        <v>0</v>
      </c>
      <c r="CV106" s="18">
        <v>9999</v>
      </c>
      <c r="CW106" s="599">
        <v>9999</v>
      </c>
    </row>
    <row r="107" spans="1:101">
      <c r="A107" t="s">
        <v>567</v>
      </c>
      <c r="C107" s="18">
        <v>14.999999999999998</v>
      </c>
      <c r="D107" s="18">
        <v>5.173293534972041</v>
      </c>
      <c r="E107" s="18">
        <v>0</v>
      </c>
      <c r="F107" s="18">
        <v>0.63250552514432767</v>
      </c>
      <c r="G107" s="18">
        <v>0</v>
      </c>
      <c r="H107" s="18">
        <v>0</v>
      </c>
      <c r="I107" s="18"/>
      <c r="J107" s="18"/>
      <c r="K107" s="18"/>
      <c r="L107" s="18">
        <v>5.5575439658943351</v>
      </c>
      <c r="M107" s="18">
        <v>1.9029775194882078E-3</v>
      </c>
      <c r="N107" s="18">
        <v>1.8892426811305896E-3</v>
      </c>
      <c r="O107" s="18">
        <v>0</v>
      </c>
      <c r="P107" s="18">
        <v>0</v>
      </c>
      <c r="Q107" s="18">
        <v>0</v>
      </c>
      <c r="R107" s="18">
        <v>0.12613005104021052</v>
      </c>
      <c r="S107" s="18">
        <v>0.2914673636814582</v>
      </c>
      <c r="T107" s="18">
        <v>0</v>
      </c>
      <c r="U107" s="18">
        <v>0.42306514124487105</v>
      </c>
      <c r="V107" s="18">
        <v>3.795033150865966E-2</v>
      </c>
      <c r="W107" s="18">
        <v>8.8550773520205878E-2</v>
      </c>
      <c r="X107" s="18">
        <v>0</v>
      </c>
      <c r="Y107" s="18">
        <v>0</v>
      </c>
      <c r="Z107" s="18">
        <v>0</v>
      </c>
      <c r="AA107" s="18">
        <v>0</v>
      </c>
      <c r="AB107" s="18">
        <v>0</v>
      </c>
      <c r="AC107" s="18">
        <v>0</v>
      </c>
      <c r="AD107" s="18">
        <v>0</v>
      </c>
      <c r="AE107" s="18">
        <v>0</v>
      </c>
      <c r="AF107" s="18">
        <v>0</v>
      </c>
      <c r="AG107" s="18">
        <v>0</v>
      </c>
      <c r="AH107" s="18">
        <v>0.1640803825488702</v>
      </c>
      <c r="AI107" s="18">
        <v>0.38001813720166411</v>
      </c>
      <c r="AJ107" s="18">
        <v>0</v>
      </c>
      <c r="AK107" s="18">
        <v>0.42306514124487105</v>
      </c>
      <c r="AL107" s="18">
        <v>0.96716366099540529</v>
      </c>
      <c r="AM107" s="18">
        <v>2.862149684966889</v>
      </c>
      <c r="AN107" s="18">
        <v>0.67241422344152801</v>
      </c>
      <c r="AO107" s="18">
        <v>0</v>
      </c>
      <c r="AP107" s="18">
        <v>0</v>
      </c>
      <c r="AQ107" s="18">
        <v>3.5345639084084173</v>
      </c>
      <c r="AR107" s="18">
        <v>0.1640803825488702</v>
      </c>
      <c r="AS107" s="599">
        <v>21.541660578196616</v>
      </c>
      <c r="AT107" s="18">
        <v>2.862149684966889</v>
      </c>
      <c r="AU107" s="18">
        <v>0.79593816202359946</v>
      </c>
      <c r="AV107" s="18">
        <v>0</v>
      </c>
      <c r="AW107" s="18">
        <v>0</v>
      </c>
      <c r="AX107" s="18">
        <v>3.6580878469904885</v>
      </c>
      <c r="AY107" s="18">
        <v>0.38001813720166411</v>
      </c>
      <c r="AZ107" s="599">
        <v>9.6260875176314347</v>
      </c>
      <c r="BA107" s="18">
        <v>2.862149684966889</v>
      </c>
      <c r="BB107" s="18">
        <v>1.4683523854651275</v>
      </c>
      <c r="BC107" s="18">
        <v>0</v>
      </c>
      <c r="BD107" s="18">
        <v>0</v>
      </c>
      <c r="BE107" s="18">
        <v>4.3305020704320167</v>
      </c>
      <c r="BF107" s="18">
        <v>0.54409851975053425</v>
      </c>
      <c r="BG107" s="18">
        <v>-12.237099266265041</v>
      </c>
      <c r="BH107" s="599">
        <v>7.9590403451520597</v>
      </c>
      <c r="BI107" s="18">
        <v>2.1724203742928023</v>
      </c>
      <c r="BJ107" s="18">
        <v>5.0314311256058017</v>
      </c>
      <c r="BK107" s="18">
        <v>0</v>
      </c>
      <c r="BL107" s="18">
        <v>5.6013724384124943</v>
      </c>
      <c r="BM107" s="18">
        <v>12.805223938311098</v>
      </c>
      <c r="BN107" s="18">
        <v>2.862149684966889</v>
      </c>
      <c r="BO107" s="18">
        <v>0</v>
      </c>
      <c r="BP107" s="18">
        <v>1.4683523854651275</v>
      </c>
      <c r="BQ107" s="18">
        <v>0</v>
      </c>
      <c r="BR107" s="18">
        <v>0</v>
      </c>
      <c r="BS107" s="18">
        <v>0</v>
      </c>
      <c r="BT107" s="18">
        <v>0</v>
      </c>
      <c r="BU107" s="18">
        <v>0</v>
      </c>
      <c r="BV107" s="18">
        <v>0</v>
      </c>
      <c r="BW107" s="18">
        <v>0</v>
      </c>
      <c r="BX107" s="18">
        <v>0.84066255596653972</v>
      </c>
      <c r="BY107" s="18">
        <v>0.12650110502886555</v>
      </c>
      <c r="BZ107" s="18">
        <v>0</v>
      </c>
      <c r="CA107" s="18">
        <v>0</v>
      </c>
      <c r="CB107" s="18">
        <v>4.3305020704320167</v>
      </c>
      <c r="CC107" s="18">
        <v>0.96716366099540529</v>
      </c>
      <c r="CD107" s="599">
        <v>4.4775276874805883</v>
      </c>
      <c r="CE107" s="18">
        <v>-6.6357268278525448</v>
      </c>
      <c r="CF107" s="18">
        <v>5.2797260413485501E-2</v>
      </c>
      <c r="CG107" s="18">
        <v>0</v>
      </c>
      <c r="CH107" s="18">
        <v>5.2797260413485501E-2</v>
      </c>
      <c r="CI107" s="18">
        <v>2.6398333837998082E-3</v>
      </c>
      <c r="CJ107" s="18">
        <v>0</v>
      </c>
      <c r="CK107" s="18">
        <v>2.6398333837998082E-3</v>
      </c>
      <c r="CL107" s="18"/>
      <c r="CM107" s="18">
        <v>0</v>
      </c>
      <c r="CN107" s="18"/>
      <c r="CO107" s="18">
        <v>0</v>
      </c>
      <c r="CP107" s="18">
        <v>0</v>
      </c>
      <c r="CQ107" s="18">
        <v>0</v>
      </c>
      <c r="CR107" s="18">
        <v>0</v>
      </c>
      <c r="CS107" s="18">
        <v>0</v>
      </c>
      <c r="CT107" s="18">
        <v>0</v>
      </c>
      <c r="CU107" s="18">
        <v>0</v>
      </c>
      <c r="CV107" s="18">
        <v>9999</v>
      </c>
      <c r="CW107" s="599">
        <v>9999</v>
      </c>
    </row>
    <row r="108" spans="1:101">
      <c r="A108" t="s">
        <v>574</v>
      </c>
      <c r="C108" s="18">
        <v>14.999999999999998</v>
      </c>
      <c r="D108" s="18">
        <v>5.173293534972041</v>
      </c>
      <c r="E108" s="18">
        <v>0</v>
      </c>
      <c r="F108" s="18">
        <v>0.63250552514432767</v>
      </c>
      <c r="G108" s="18">
        <v>0</v>
      </c>
      <c r="H108" s="18">
        <v>0</v>
      </c>
      <c r="I108" s="18"/>
      <c r="J108" s="18"/>
      <c r="K108" s="18"/>
      <c r="L108" s="18">
        <v>5.5575439658943351</v>
      </c>
      <c r="M108" s="18">
        <v>1.9029775194882078E-3</v>
      </c>
      <c r="N108" s="18">
        <v>1.8892426811305896E-3</v>
      </c>
      <c r="O108" s="18">
        <v>0</v>
      </c>
      <c r="P108" s="18">
        <v>0</v>
      </c>
      <c r="Q108" s="18">
        <v>0</v>
      </c>
      <c r="R108" s="18">
        <v>0.12613005104021052</v>
      </c>
      <c r="S108" s="18">
        <v>0.2914673636814582</v>
      </c>
      <c r="T108" s="18">
        <v>0</v>
      </c>
      <c r="U108" s="18">
        <v>0.42306514124487105</v>
      </c>
      <c r="V108" s="18">
        <v>3.795033150865966E-2</v>
      </c>
      <c r="W108" s="18">
        <v>8.8550773520205878E-2</v>
      </c>
      <c r="X108" s="18">
        <v>0</v>
      </c>
      <c r="Y108" s="18">
        <v>0</v>
      </c>
      <c r="Z108" s="18">
        <v>0</v>
      </c>
      <c r="AA108" s="18">
        <v>0</v>
      </c>
      <c r="AB108" s="18">
        <v>0</v>
      </c>
      <c r="AC108" s="18">
        <v>0</v>
      </c>
      <c r="AD108" s="18">
        <v>0</v>
      </c>
      <c r="AE108" s="18">
        <v>0</v>
      </c>
      <c r="AF108" s="18">
        <v>0</v>
      </c>
      <c r="AG108" s="18">
        <v>0</v>
      </c>
      <c r="AH108" s="18">
        <v>0.1640803825488702</v>
      </c>
      <c r="AI108" s="18">
        <v>0.38001813720166411</v>
      </c>
      <c r="AJ108" s="18">
        <v>0</v>
      </c>
      <c r="AK108" s="18">
        <v>0.42306514124487105</v>
      </c>
      <c r="AL108" s="18">
        <v>0.96716366099540529</v>
      </c>
      <c r="AM108" s="18">
        <v>2.862149684966889</v>
      </c>
      <c r="AN108" s="18">
        <v>0.67241422344152801</v>
      </c>
      <c r="AO108" s="18">
        <v>0</v>
      </c>
      <c r="AP108" s="18">
        <v>0</v>
      </c>
      <c r="AQ108" s="18">
        <v>3.5345639084084173</v>
      </c>
      <c r="AR108" s="18">
        <v>0.1640803825488702</v>
      </c>
      <c r="AS108" s="599">
        <v>21.541660578196616</v>
      </c>
      <c r="AT108" s="18">
        <v>2.862149684966889</v>
      </c>
      <c r="AU108" s="18">
        <v>0.79593816202359946</v>
      </c>
      <c r="AV108" s="18">
        <v>0</v>
      </c>
      <c r="AW108" s="18">
        <v>0</v>
      </c>
      <c r="AX108" s="18">
        <v>3.6580878469904885</v>
      </c>
      <c r="AY108" s="18">
        <v>0.38001813720166411</v>
      </c>
      <c r="AZ108" s="599">
        <v>9.6260875176314347</v>
      </c>
      <c r="BA108" s="18">
        <v>2.862149684966889</v>
      </c>
      <c r="BB108" s="18">
        <v>1.4683523854651275</v>
      </c>
      <c r="BC108" s="18">
        <v>0</v>
      </c>
      <c r="BD108" s="18">
        <v>0</v>
      </c>
      <c r="BE108" s="18">
        <v>4.3305020704320167</v>
      </c>
      <c r="BF108" s="18">
        <v>0.54409851975053425</v>
      </c>
      <c r="BG108" s="18">
        <v>-12.237099266265041</v>
      </c>
      <c r="BH108" s="599">
        <v>7.9590403451520597</v>
      </c>
      <c r="BI108" s="18">
        <v>2.1724203742928023</v>
      </c>
      <c r="BJ108" s="18">
        <v>5.0314311256058017</v>
      </c>
      <c r="BK108" s="18">
        <v>0</v>
      </c>
      <c r="BL108" s="18">
        <v>5.6013724384124943</v>
      </c>
      <c r="BM108" s="18">
        <v>12.805223938311098</v>
      </c>
      <c r="BN108" s="18">
        <v>2.862149684966889</v>
      </c>
      <c r="BO108" s="18">
        <v>0</v>
      </c>
      <c r="BP108" s="18">
        <v>1.4683523854651275</v>
      </c>
      <c r="BQ108" s="18">
        <v>0</v>
      </c>
      <c r="BR108" s="18">
        <v>0</v>
      </c>
      <c r="BS108" s="18">
        <v>0</v>
      </c>
      <c r="BT108" s="18">
        <v>0</v>
      </c>
      <c r="BU108" s="18">
        <v>0</v>
      </c>
      <c r="BV108" s="18">
        <v>0</v>
      </c>
      <c r="BW108" s="18">
        <v>0</v>
      </c>
      <c r="BX108" s="18">
        <v>0.84066255596653972</v>
      </c>
      <c r="BY108" s="18">
        <v>0.12650110502886555</v>
      </c>
      <c r="BZ108" s="18">
        <v>0</v>
      </c>
      <c r="CA108" s="18">
        <v>0</v>
      </c>
      <c r="CB108" s="18">
        <v>4.3305020704320167</v>
      </c>
      <c r="CC108" s="18">
        <v>0.96716366099540529</v>
      </c>
      <c r="CD108" s="599">
        <v>4.4775276874805883</v>
      </c>
      <c r="CE108" s="18">
        <v>-6.6357268278525448</v>
      </c>
      <c r="CF108" s="18">
        <v>5.2797260413485501E-2</v>
      </c>
      <c r="CG108" s="18">
        <v>0</v>
      </c>
      <c r="CH108" s="18">
        <v>5.2797260413485501E-2</v>
      </c>
      <c r="CI108" s="18">
        <v>2.6398333837998082E-3</v>
      </c>
      <c r="CJ108" s="18">
        <v>0</v>
      </c>
      <c r="CK108" s="18">
        <v>2.6398333837998082E-3</v>
      </c>
      <c r="CL108" s="18"/>
      <c r="CM108" s="18">
        <v>0</v>
      </c>
      <c r="CN108" s="18"/>
      <c r="CO108" s="18">
        <v>0</v>
      </c>
      <c r="CP108" s="18">
        <v>0</v>
      </c>
      <c r="CQ108" s="18">
        <v>0</v>
      </c>
      <c r="CR108" s="18">
        <v>0</v>
      </c>
      <c r="CS108" s="18">
        <v>0</v>
      </c>
      <c r="CT108" s="18">
        <v>0</v>
      </c>
      <c r="CU108" s="18">
        <v>0</v>
      </c>
      <c r="CV108" s="18">
        <v>9999</v>
      </c>
      <c r="CW108" s="599">
        <v>9999</v>
      </c>
    </row>
    <row r="109" spans="1:101">
      <c r="A109" t="s">
        <v>550</v>
      </c>
      <c r="C109" s="18">
        <v>15</v>
      </c>
      <c r="D109" s="18">
        <v>3.8581788879935535</v>
      </c>
      <c r="E109" s="18">
        <v>0</v>
      </c>
      <c r="F109" s="18">
        <v>0.51447889576687988</v>
      </c>
      <c r="G109" s="18">
        <v>0</v>
      </c>
      <c r="H109" s="18">
        <v>0</v>
      </c>
      <c r="I109" s="18"/>
      <c r="J109" s="18"/>
      <c r="K109" s="18"/>
      <c r="L109" s="18">
        <v>4.1447481480335853</v>
      </c>
      <c r="M109" s="18">
        <v>1.4192173013927816E-3</v>
      </c>
      <c r="N109" s="18">
        <v>1.4089740273502131E-3</v>
      </c>
      <c r="O109" s="18">
        <v>0</v>
      </c>
      <c r="P109" s="18">
        <v>0</v>
      </c>
      <c r="Q109" s="18">
        <v>0</v>
      </c>
      <c r="R109" s="18">
        <v>0.10259396448336253</v>
      </c>
      <c r="S109" s="18">
        <v>0.23707904746713973</v>
      </c>
      <c r="T109" s="18">
        <v>0</v>
      </c>
      <c r="U109" s="18">
        <v>0.34412045120942492</v>
      </c>
      <c r="V109" s="18">
        <v>3.0868733746012792E-2</v>
      </c>
      <c r="W109" s="18">
        <v>7.2027045407363183E-2</v>
      </c>
      <c r="X109" s="18">
        <v>0</v>
      </c>
      <c r="Y109" s="18">
        <v>0</v>
      </c>
      <c r="Z109" s="18">
        <v>0</v>
      </c>
      <c r="AA109" s="18">
        <v>0</v>
      </c>
      <c r="AB109" s="18">
        <v>0</v>
      </c>
      <c r="AC109" s="18">
        <v>0</v>
      </c>
      <c r="AD109" s="18">
        <v>0</v>
      </c>
      <c r="AE109" s="18">
        <v>0</v>
      </c>
      <c r="AF109" s="18">
        <v>0</v>
      </c>
      <c r="AG109" s="18">
        <v>0</v>
      </c>
      <c r="AH109" s="18">
        <v>0.13346269822937532</v>
      </c>
      <c r="AI109" s="18">
        <v>0.30910609287450291</v>
      </c>
      <c r="AJ109" s="18">
        <v>0</v>
      </c>
      <c r="AK109" s="18">
        <v>0.34412045120942492</v>
      </c>
      <c r="AL109" s="18">
        <v>0.78668924231330317</v>
      </c>
      <c r="AM109" s="18">
        <v>2.1345561418788366</v>
      </c>
      <c r="AN109" s="18">
        <v>0.50147828328915889</v>
      </c>
      <c r="AO109" s="18">
        <v>0</v>
      </c>
      <c r="AP109" s="18">
        <v>0</v>
      </c>
      <c r="AQ109" s="18">
        <v>2.6360344251679955</v>
      </c>
      <c r="AR109" s="18">
        <v>0.13346269822937532</v>
      </c>
      <c r="AS109" s="599">
        <v>19.751094951171915</v>
      </c>
      <c r="AT109" s="18">
        <v>2.1345561418788366</v>
      </c>
      <c r="AU109" s="18">
        <v>0.59360092214145754</v>
      </c>
      <c r="AV109" s="18">
        <v>0</v>
      </c>
      <c r="AW109" s="18">
        <v>0</v>
      </c>
      <c r="AX109" s="18">
        <v>2.7281570640202943</v>
      </c>
      <c r="AY109" s="18">
        <v>0.30910609287450291</v>
      </c>
      <c r="AZ109" s="599">
        <v>8.8259569348829565</v>
      </c>
      <c r="BA109" s="18">
        <v>2.1345561418788366</v>
      </c>
      <c r="BB109" s="18">
        <v>1.0950792054306164</v>
      </c>
      <c r="BC109" s="18">
        <v>0</v>
      </c>
      <c r="BD109" s="18">
        <v>0</v>
      </c>
      <c r="BE109" s="18">
        <v>3.2296353473094532</v>
      </c>
      <c r="BF109" s="18">
        <v>0.44256879110387826</v>
      </c>
      <c r="BG109" s="18">
        <v>-11.584023124927203</v>
      </c>
      <c r="BH109" s="599">
        <v>7.2974764877883223</v>
      </c>
      <c r="BI109" s="18">
        <v>2.3693644555841549</v>
      </c>
      <c r="BJ109" s="18">
        <v>5.4875631856522951</v>
      </c>
      <c r="BK109" s="18">
        <v>0</v>
      </c>
      <c r="BL109" s="18">
        <v>6.1091733971532571</v>
      </c>
      <c r="BM109" s="18">
        <v>13.966101038389709</v>
      </c>
      <c r="BN109" s="18">
        <v>2.1345561418788366</v>
      </c>
      <c r="BO109" s="18">
        <v>0</v>
      </c>
      <c r="BP109" s="18">
        <v>1.0950792054306164</v>
      </c>
      <c r="BQ109" s="18">
        <v>0</v>
      </c>
      <c r="BR109" s="18">
        <v>0</v>
      </c>
      <c r="BS109" s="18">
        <v>0</v>
      </c>
      <c r="BT109" s="18">
        <v>0</v>
      </c>
      <c r="BU109" s="18">
        <v>0</v>
      </c>
      <c r="BV109" s="18">
        <v>0</v>
      </c>
      <c r="BW109" s="18">
        <v>0</v>
      </c>
      <c r="BX109" s="18">
        <v>0.68379346315992717</v>
      </c>
      <c r="BY109" s="18">
        <v>0.10289577915337599</v>
      </c>
      <c r="BZ109" s="18">
        <v>0</v>
      </c>
      <c r="CA109" s="18">
        <v>0</v>
      </c>
      <c r="CB109" s="18">
        <v>3.2296353473094532</v>
      </c>
      <c r="CC109" s="18">
        <v>0.78668924231330317</v>
      </c>
      <c r="CD109" s="599">
        <v>4.1053508470670481</v>
      </c>
      <c r="CE109" s="18">
        <v>-5.4748497277739405</v>
      </c>
      <c r="CF109" s="18">
        <v>3.9375549462670932E-2</v>
      </c>
      <c r="CG109" s="18">
        <v>0</v>
      </c>
      <c r="CH109" s="18">
        <v>3.9375549462670932E-2</v>
      </c>
      <c r="CI109" s="18">
        <v>1.9687553703159524E-3</v>
      </c>
      <c r="CJ109" s="18">
        <v>0</v>
      </c>
      <c r="CK109" s="18">
        <v>1.9687553703159524E-3</v>
      </c>
      <c r="CL109" s="18"/>
      <c r="CM109" s="18">
        <v>0</v>
      </c>
      <c r="CN109" s="18"/>
      <c r="CO109" s="18">
        <v>0</v>
      </c>
      <c r="CP109" s="18">
        <v>0</v>
      </c>
      <c r="CQ109" s="18">
        <v>0</v>
      </c>
      <c r="CR109" s="18">
        <v>0</v>
      </c>
      <c r="CS109" s="18">
        <v>0</v>
      </c>
      <c r="CT109" s="18">
        <v>0</v>
      </c>
      <c r="CU109" s="18">
        <v>0</v>
      </c>
      <c r="CV109" s="18">
        <v>9999</v>
      </c>
      <c r="CW109" s="599">
        <v>9999</v>
      </c>
    </row>
    <row r="110" spans="1:101">
      <c r="A110" t="s">
        <v>557</v>
      </c>
      <c r="C110" s="18">
        <v>15</v>
      </c>
      <c r="D110" s="18">
        <v>3.8581788879935535</v>
      </c>
      <c r="E110" s="18">
        <v>0</v>
      </c>
      <c r="F110" s="18">
        <v>0.51447889576687988</v>
      </c>
      <c r="G110" s="18">
        <v>0</v>
      </c>
      <c r="H110" s="18">
        <v>0</v>
      </c>
      <c r="I110" s="18"/>
      <c r="J110" s="18"/>
      <c r="K110" s="18"/>
      <c r="L110" s="18">
        <v>4.1447481480335853</v>
      </c>
      <c r="M110" s="18">
        <v>1.4192173013927816E-3</v>
      </c>
      <c r="N110" s="18">
        <v>1.4089740273502131E-3</v>
      </c>
      <c r="O110" s="18">
        <v>0</v>
      </c>
      <c r="P110" s="18">
        <v>0</v>
      </c>
      <c r="Q110" s="18">
        <v>0</v>
      </c>
      <c r="R110" s="18">
        <v>0.10259396448336253</v>
      </c>
      <c r="S110" s="18">
        <v>0.23707904746713973</v>
      </c>
      <c r="T110" s="18">
        <v>0</v>
      </c>
      <c r="U110" s="18">
        <v>0.34412045120942492</v>
      </c>
      <c r="V110" s="18">
        <v>3.0868733746012792E-2</v>
      </c>
      <c r="W110" s="18">
        <v>7.2027045407363183E-2</v>
      </c>
      <c r="X110" s="18">
        <v>0</v>
      </c>
      <c r="Y110" s="18">
        <v>0</v>
      </c>
      <c r="Z110" s="18">
        <v>0</v>
      </c>
      <c r="AA110" s="18">
        <v>0</v>
      </c>
      <c r="AB110" s="18">
        <v>0</v>
      </c>
      <c r="AC110" s="18">
        <v>0</v>
      </c>
      <c r="AD110" s="18">
        <v>0</v>
      </c>
      <c r="AE110" s="18">
        <v>0</v>
      </c>
      <c r="AF110" s="18">
        <v>0</v>
      </c>
      <c r="AG110" s="18">
        <v>0</v>
      </c>
      <c r="AH110" s="18">
        <v>0.13346269822937532</v>
      </c>
      <c r="AI110" s="18">
        <v>0.30910609287450291</v>
      </c>
      <c r="AJ110" s="18">
        <v>0</v>
      </c>
      <c r="AK110" s="18">
        <v>0.34412045120942492</v>
      </c>
      <c r="AL110" s="18">
        <v>0.78668924231330317</v>
      </c>
      <c r="AM110" s="18">
        <v>2.1345561418788366</v>
      </c>
      <c r="AN110" s="18">
        <v>0.50147828328915889</v>
      </c>
      <c r="AO110" s="18">
        <v>0</v>
      </c>
      <c r="AP110" s="18">
        <v>0</v>
      </c>
      <c r="AQ110" s="18">
        <v>2.6360344251679955</v>
      </c>
      <c r="AR110" s="18">
        <v>0.13346269822937532</v>
      </c>
      <c r="AS110" s="599">
        <v>19.751094951171915</v>
      </c>
      <c r="AT110" s="18">
        <v>2.1345561418788366</v>
      </c>
      <c r="AU110" s="18">
        <v>0.59360092214145754</v>
      </c>
      <c r="AV110" s="18">
        <v>0</v>
      </c>
      <c r="AW110" s="18">
        <v>0</v>
      </c>
      <c r="AX110" s="18">
        <v>2.7281570640202943</v>
      </c>
      <c r="AY110" s="18">
        <v>0.30910609287450291</v>
      </c>
      <c r="AZ110" s="599">
        <v>8.8259569348829565</v>
      </c>
      <c r="BA110" s="18">
        <v>2.1345561418788366</v>
      </c>
      <c r="BB110" s="18">
        <v>1.0950792054306164</v>
      </c>
      <c r="BC110" s="18">
        <v>0</v>
      </c>
      <c r="BD110" s="18">
        <v>0</v>
      </c>
      <c r="BE110" s="18">
        <v>3.2296353473094532</v>
      </c>
      <c r="BF110" s="18">
        <v>0.44256879110387826</v>
      </c>
      <c r="BG110" s="18">
        <v>-11.584023124927203</v>
      </c>
      <c r="BH110" s="599">
        <v>7.2974764877883223</v>
      </c>
      <c r="BI110" s="18">
        <v>2.3693644555841549</v>
      </c>
      <c r="BJ110" s="18">
        <v>5.4875631856522951</v>
      </c>
      <c r="BK110" s="18">
        <v>0</v>
      </c>
      <c r="BL110" s="18">
        <v>6.1091733971532571</v>
      </c>
      <c r="BM110" s="18">
        <v>13.966101038389709</v>
      </c>
      <c r="BN110" s="18">
        <v>2.1345561418788366</v>
      </c>
      <c r="BO110" s="18">
        <v>0</v>
      </c>
      <c r="BP110" s="18">
        <v>1.0950792054306164</v>
      </c>
      <c r="BQ110" s="18">
        <v>0</v>
      </c>
      <c r="BR110" s="18">
        <v>0</v>
      </c>
      <c r="BS110" s="18">
        <v>0</v>
      </c>
      <c r="BT110" s="18">
        <v>0</v>
      </c>
      <c r="BU110" s="18">
        <v>0</v>
      </c>
      <c r="BV110" s="18">
        <v>0</v>
      </c>
      <c r="BW110" s="18">
        <v>0</v>
      </c>
      <c r="BX110" s="18">
        <v>0.68379346315992717</v>
      </c>
      <c r="BY110" s="18">
        <v>0.10289577915337599</v>
      </c>
      <c r="BZ110" s="18">
        <v>0</v>
      </c>
      <c r="CA110" s="18">
        <v>0</v>
      </c>
      <c r="CB110" s="18">
        <v>3.2296353473094532</v>
      </c>
      <c r="CC110" s="18">
        <v>0.78668924231330317</v>
      </c>
      <c r="CD110" s="599">
        <v>4.1053508470670481</v>
      </c>
      <c r="CE110" s="18">
        <v>-5.4748497277739405</v>
      </c>
      <c r="CF110" s="18">
        <v>3.9375549462670932E-2</v>
      </c>
      <c r="CG110" s="18">
        <v>0</v>
      </c>
      <c r="CH110" s="18">
        <v>3.9375549462670932E-2</v>
      </c>
      <c r="CI110" s="18">
        <v>1.9687553703159524E-3</v>
      </c>
      <c r="CJ110" s="18">
        <v>0</v>
      </c>
      <c r="CK110" s="18">
        <v>1.9687553703159524E-3</v>
      </c>
      <c r="CL110" s="18"/>
      <c r="CM110" s="18">
        <v>0</v>
      </c>
      <c r="CN110" s="18"/>
      <c r="CO110" s="18">
        <v>0</v>
      </c>
      <c r="CP110" s="18">
        <v>0</v>
      </c>
      <c r="CQ110" s="18">
        <v>0</v>
      </c>
      <c r="CR110" s="18">
        <v>0</v>
      </c>
      <c r="CS110" s="18">
        <v>0</v>
      </c>
      <c r="CT110" s="18">
        <v>0</v>
      </c>
      <c r="CU110" s="18">
        <v>0</v>
      </c>
      <c r="CV110" s="18">
        <v>9999</v>
      </c>
      <c r="CW110" s="599">
        <v>9999</v>
      </c>
    </row>
    <row r="111" spans="1:101">
      <c r="A111" t="s">
        <v>564</v>
      </c>
      <c r="C111" s="18">
        <v>15</v>
      </c>
      <c r="D111" s="18">
        <v>3.8581788879935535</v>
      </c>
      <c r="E111" s="18">
        <v>0</v>
      </c>
      <c r="F111" s="18">
        <v>0.51447889576687988</v>
      </c>
      <c r="G111" s="18">
        <v>0</v>
      </c>
      <c r="H111" s="18">
        <v>0</v>
      </c>
      <c r="I111" s="18"/>
      <c r="J111" s="18"/>
      <c r="K111" s="18"/>
      <c r="L111" s="18">
        <v>4.1447481480335853</v>
      </c>
      <c r="M111" s="18">
        <v>1.4192173013927816E-3</v>
      </c>
      <c r="N111" s="18">
        <v>1.4089740273502131E-3</v>
      </c>
      <c r="O111" s="18">
        <v>0</v>
      </c>
      <c r="P111" s="18">
        <v>0</v>
      </c>
      <c r="Q111" s="18">
        <v>0</v>
      </c>
      <c r="R111" s="18">
        <v>0.10259396448336253</v>
      </c>
      <c r="S111" s="18">
        <v>0.23707904746713973</v>
      </c>
      <c r="T111" s="18">
        <v>0</v>
      </c>
      <c r="U111" s="18">
        <v>0.34412045120942492</v>
      </c>
      <c r="V111" s="18">
        <v>3.0868733746012792E-2</v>
      </c>
      <c r="W111" s="18">
        <v>7.2027045407363183E-2</v>
      </c>
      <c r="X111" s="18">
        <v>0</v>
      </c>
      <c r="Y111" s="18">
        <v>0</v>
      </c>
      <c r="Z111" s="18">
        <v>0</v>
      </c>
      <c r="AA111" s="18">
        <v>0</v>
      </c>
      <c r="AB111" s="18">
        <v>0</v>
      </c>
      <c r="AC111" s="18">
        <v>0</v>
      </c>
      <c r="AD111" s="18">
        <v>0</v>
      </c>
      <c r="AE111" s="18">
        <v>0</v>
      </c>
      <c r="AF111" s="18">
        <v>0</v>
      </c>
      <c r="AG111" s="18">
        <v>0</v>
      </c>
      <c r="AH111" s="18">
        <v>0.13346269822937532</v>
      </c>
      <c r="AI111" s="18">
        <v>0.30910609287450291</v>
      </c>
      <c r="AJ111" s="18">
        <v>0</v>
      </c>
      <c r="AK111" s="18">
        <v>0.34412045120942492</v>
      </c>
      <c r="AL111" s="18">
        <v>0.78668924231330317</v>
      </c>
      <c r="AM111" s="18">
        <v>2.1345561418788366</v>
      </c>
      <c r="AN111" s="18">
        <v>0.50147828328915889</v>
      </c>
      <c r="AO111" s="18">
        <v>0</v>
      </c>
      <c r="AP111" s="18">
        <v>0</v>
      </c>
      <c r="AQ111" s="18">
        <v>2.6360344251679955</v>
      </c>
      <c r="AR111" s="18">
        <v>0.13346269822937532</v>
      </c>
      <c r="AS111" s="599">
        <v>19.751094951171915</v>
      </c>
      <c r="AT111" s="18">
        <v>2.1345561418788366</v>
      </c>
      <c r="AU111" s="18">
        <v>0.59360092214145754</v>
      </c>
      <c r="AV111" s="18">
        <v>0</v>
      </c>
      <c r="AW111" s="18">
        <v>0</v>
      </c>
      <c r="AX111" s="18">
        <v>2.7281570640202943</v>
      </c>
      <c r="AY111" s="18">
        <v>0.30910609287450291</v>
      </c>
      <c r="AZ111" s="599">
        <v>8.8259569348829565</v>
      </c>
      <c r="BA111" s="18">
        <v>2.1345561418788366</v>
      </c>
      <c r="BB111" s="18">
        <v>1.0950792054306164</v>
      </c>
      <c r="BC111" s="18">
        <v>0</v>
      </c>
      <c r="BD111" s="18">
        <v>0</v>
      </c>
      <c r="BE111" s="18">
        <v>3.2296353473094532</v>
      </c>
      <c r="BF111" s="18">
        <v>0.44256879110387826</v>
      </c>
      <c r="BG111" s="18">
        <v>-11.584023124927203</v>
      </c>
      <c r="BH111" s="599">
        <v>7.2974764877883223</v>
      </c>
      <c r="BI111" s="18">
        <v>2.3693644555841549</v>
      </c>
      <c r="BJ111" s="18">
        <v>5.4875631856522951</v>
      </c>
      <c r="BK111" s="18">
        <v>0</v>
      </c>
      <c r="BL111" s="18">
        <v>6.1091733971532571</v>
      </c>
      <c r="BM111" s="18">
        <v>13.966101038389709</v>
      </c>
      <c r="BN111" s="18">
        <v>2.1345561418788366</v>
      </c>
      <c r="BO111" s="18">
        <v>0</v>
      </c>
      <c r="BP111" s="18">
        <v>1.0950792054306164</v>
      </c>
      <c r="BQ111" s="18">
        <v>0</v>
      </c>
      <c r="BR111" s="18">
        <v>0</v>
      </c>
      <c r="BS111" s="18">
        <v>0</v>
      </c>
      <c r="BT111" s="18">
        <v>0</v>
      </c>
      <c r="BU111" s="18">
        <v>0</v>
      </c>
      <c r="BV111" s="18">
        <v>0</v>
      </c>
      <c r="BW111" s="18">
        <v>0</v>
      </c>
      <c r="BX111" s="18">
        <v>0.68379346315992717</v>
      </c>
      <c r="BY111" s="18">
        <v>0.10289577915337599</v>
      </c>
      <c r="BZ111" s="18">
        <v>0</v>
      </c>
      <c r="CA111" s="18">
        <v>0</v>
      </c>
      <c r="CB111" s="18">
        <v>3.2296353473094532</v>
      </c>
      <c r="CC111" s="18">
        <v>0.78668924231330317</v>
      </c>
      <c r="CD111" s="599">
        <v>4.1053508470670481</v>
      </c>
      <c r="CE111" s="18">
        <v>-5.4748497277739405</v>
      </c>
      <c r="CF111" s="18">
        <v>3.9375549462670932E-2</v>
      </c>
      <c r="CG111" s="18">
        <v>0</v>
      </c>
      <c r="CH111" s="18">
        <v>3.9375549462670932E-2</v>
      </c>
      <c r="CI111" s="18">
        <v>1.9687553703159524E-3</v>
      </c>
      <c r="CJ111" s="18">
        <v>0</v>
      </c>
      <c r="CK111" s="18">
        <v>1.9687553703159524E-3</v>
      </c>
      <c r="CL111" s="18"/>
      <c r="CM111" s="18">
        <v>0</v>
      </c>
      <c r="CN111" s="18"/>
      <c r="CO111" s="18">
        <v>0</v>
      </c>
      <c r="CP111" s="18">
        <v>0</v>
      </c>
      <c r="CQ111" s="18">
        <v>0</v>
      </c>
      <c r="CR111" s="18">
        <v>0</v>
      </c>
      <c r="CS111" s="18">
        <v>0</v>
      </c>
      <c r="CT111" s="18">
        <v>0</v>
      </c>
      <c r="CU111" s="18">
        <v>0</v>
      </c>
      <c r="CV111" s="18">
        <v>9999</v>
      </c>
      <c r="CW111" s="599">
        <v>9999</v>
      </c>
    </row>
    <row r="112" spans="1:101">
      <c r="A112" t="s">
        <v>571</v>
      </c>
      <c r="C112" s="18">
        <v>15</v>
      </c>
      <c r="D112" s="18">
        <v>3.8581788879935535</v>
      </c>
      <c r="E112" s="18">
        <v>0</v>
      </c>
      <c r="F112" s="18">
        <v>0.51447889576687988</v>
      </c>
      <c r="G112" s="18">
        <v>0</v>
      </c>
      <c r="H112" s="18">
        <v>0</v>
      </c>
      <c r="I112" s="18"/>
      <c r="J112" s="18"/>
      <c r="K112" s="18"/>
      <c r="L112" s="18">
        <v>4.1447481480335853</v>
      </c>
      <c r="M112" s="18">
        <v>1.4192173013927816E-3</v>
      </c>
      <c r="N112" s="18">
        <v>1.4089740273502131E-3</v>
      </c>
      <c r="O112" s="18">
        <v>0</v>
      </c>
      <c r="P112" s="18">
        <v>0</v>
      </c>
      <c r="Q112" s="18">
        <v>0</v>
      </c>
      <c r="R112" s="18">
        <v>0.10259396448336253</v>
      </c>
      <c r="S112" s="18">
        <v>0.23707904746713973</v>
      </c>
      <c r="T112" s="18">
        <v>0</v>
      </c>
      <c r="U112" s="18">
        <v>0.34412045120942492</v>
      </c>
      <c r="V112" s="18">
        <v>3.0868733746012792E-2</v>
      </c>
      <c r="W112" s="18">
        <v>7.2027045407363183E-2</v>
      </c>
      <c r="X112" s="18">
        <v>0</v>
      </c>
      <c r="Y112" s="18">
        <v>0</v>
      </c>
      <c r="Z112" s="18">
        <v>0</v>
      </c>
      <c r="AA112" s="18">
        <v>0</v>
      </c>
      <c r="AB112" s="18">
        <v>0</v>
      </c>
      <c r="AC112" s="18">
        <v>0</v>
      </c>
      <c r="AD112" s="18">
        <v>0</v>
      </c>
      <c r="AE112" s="18">
        <v>0</v>
      </c>
      <c r="AF112" s="18">
        <v>0</v>
      </c>
      <c r="AG112" s="18">
        <v>0</v>
      </c>
      <c r="AH112" s="18">
        <v>0.13346269822937532</v>
      </c>
      <c r="AI112" s="18">
        <v>0.30910609287450291</v>
      </c>
      <c r="AJ112" s="18">
        <v>0</v>
      </c>
      <c r="AK112" s="18">
        <v>0.34412045120942492</v>
      </c>
      <c r="AL112" s="18">
        <v>0.78668924231330317</v>
      </c>
      <c r="AM112" s="18">
        <v>2.1345561418788366</v>
      </c>
      <c r="AN112" s="18">
        <v>0.50147828328915889</v>
      </c>
      <c r="AO112" s="18">
        <v>0</v>
      </c>
      <c r="AP112" s="18">
        <v>0</v>
      </c>
      <c r="AQ112" s="18">
        <v>2.6360344251679955</v>
      </c>
      <c r="AR112" s="18">
        <v>0.13346269822937532</v>
      </c>
      <c r="AS112" s="599">
        <v>19.751094951171915</v>
      </c>
      <c r="AT112" s="18">
        <v>2.1345561418788366</v>
      </c>
      <c r="AU112" s="18">
        <v>0.59360092214145754</v>
      </c>
      <c r="AV112" s="18">
        <v>0</v>
      </c>
      <c r="AW112" s="18">
        <v>0</v>
      </c>
      <c r="AX112" s="18">
        <v>2.7281570640202943</v>
      </c>
      <c r="AY112" s="18">
        <v>0.30910609287450291</v>
      </c>
      <c r="AZ112" s="599">
        <v>8.8259569348829565</v>
      </c>
      <c r="BA112" s="18">
        <v>2.1345561418788366</v>
      </c>
      <c r="BB112" s="18">
        <v>1.0950792054306164</v>
      </c>
      <c r="BC112" s="18">
        <v>0</v>
      </c>
      <c r="BD112" s="18">
        <v>0</v>
      </c>
      <c r="BE112" s="18">
        <v>3.2296353473094532</v>
      </c>
      <c r="BF112" s="18">
        <v>0.44256879110387826</v>
      </c>
      <c r="BG112" s="18">
        <v>-11.584023124927203</v>
      </c>
      <c r="BH112" s="599">
        <v>7.2974764877883223</v>
      </c>
      <c r="BI112" s="18">
        <v>2.3693644555841549</v>
      </c>
      <c r="BJ112" s="18">
        <v>5.4875631856522951</v>
      </c>
      <c r="BK112" s="18">
        <v>0</v>
      </c>
      <c r="BL112" s="18">
        <v>6.1091733971532571</v>
      </c>
      <c r="BM112" s="18">
        <v>13.966101038389709</v>
      </c>
      <c r="BN112" s="18">
        <v>2.1345561418788366</v>
      </c>
      <c r="BO112" s="18">
        <v>0</v>
      </c>
      <c r="BP112" s="18">
        <v>1.0950792054306164</v>
      </c>
      <c r="BQ112" s="18">
        <v>0</v>
      </c>
      <c r="BR112" s="18">
        <v>0</v>
      </c>
      <c r="BS112" s="18">
        <v>0</v>
      </c>
      <c r="BT112" s="18">
        <v>0</v>
      </c>
      <c r="BU112" s="18">
        <v>0</v>
      </c>
      <c r="BV112" s="18">
        <v>0</v>
      </c>
      <c r="BW112" s="18">
        <v>0</v>
      </c>
      <c r="BX112" s="18">
        <v>0.68379346315992717</v>
      </c>
      <c r="BY112" s="18">
        <v>0.10289577915337599</v>
      </c>
      <c r="BZ112" s="18">
        <v>0</v>
      </c>
      <c r="CA112" s="18">
        <v>0</v>
      </c>
      <c r="CB112" s="18">
        <v>3.2296353473094532</v>
      </c>
      <c r="CC112" s="18">
        <v>0.78668924231330317</v>
      </c>
      <c r="CD112" s="599">
        <v>4.1053508470670481</v>
      </c>
      <c r="CE112" s="18">
        <v>-5.4748497277739405</v>
      </c>
      <c r="CF112" s="18">
        <v>3.9375549462670932E-2</v>
      </c>
      <c r="CG112" s="18">
        <v>0</v>
      </c>
      <c r="CH112" s="18">
        <v>3.9375549462670932E-2</v>
      </c>
      <c r="CI112" s="18">
        <v>1.9687553703159524E-3</v>
      </c>
      <c r="CJ112" s="18">
        <v>0</v>
      </c>
      <c r="CK112" s="18">
        <v>1.9687553703159524E-3</v>
      </c>
      <c r="CL112" s="18"/>
      <c r="CM112" s="18">
        <v>0</v>
      </c>
      <c r="CN112" s="18"/>
      <c r="CO112" s="18">
        <v>0</v>
      </c>
      <c r="CP112" s="18">
        <v>0</v>
      </c>
      <c r="CQ112" s="18">
        <v>0</v>
      </c>
      <c r="CR112" s="18">
        <v>0</v>
      </c>
      <c r="CS112" s="18">
        <v>0</v>
      </c>
      <c r="CT112" s="18">
        <v>0</v>
      </c>
      <c r="CU112" s="18">
        <v>0</v>
      </c>
      <c r="CV112" s="18">
        <v>9999</v>
      </c>
      <c r="CW112" s="599">
        <v>9999</v>
      </c>
    </row>
    <row r="113" spans="1:101">
      <c r="A113" t="s">
        <v>549</v>
      </c>
      <c r="C113" s="18">
        <v>14.999999999999998</v>
      </c>
      <c r="D113" s="18">
        <v>6.9735697018533438</v>
      </c>
      <c r="E113" s="18">
        <v>0</v>
      </c>
      <c r="F113" s="18">
        <v>0.92996697553610974</v>
      </c>
      <c r="G113" s="18">
        <v>0</v>
      </c>
      <c r="H113" s="18">
        <v>0</v>
      </c>
      <c r="I113" s="18"/>
      <c r="J113" s="18"/>
      <c r="K113" s="18"/>
      <c r="L113" s="18">
        <v>7.4915370557043142</v>
      </c>
      <c r="M113" s="18">
        <v>2.5652026670245219E-3</v>
      </c>
      <c r="N113" s="18">
        <v>2.5466881845226013E-3</v>
      </c>
      <c r="O113" s="18">
        <v>0</v>
      </c>
      <c r="P113" s="18">
        <v>0</v>
      </c>
      <c r="Q113" s="18">
        <v>0</v>
      </c>
      <c r="R113" s="18">
        <v>0.18544783788776309</v>
      </c>
      <c r="S113" s="18">
        <v>0.42854174690170277</v>
      </c>
      <c r="T113" s="18">
        <v>0</v>
      </c>
      <c r="U113" s="18">
        <v>0.62202873211024334</v>
      </c>
      <c r="V113" s="18">
        <v>5.5798018532166586E-2</v>
      </c>
      <c r="W113" s="18">
        <v>0.13019537657505537</v>
      </c>
      <c r="X113" s="18">
        <v>0</v>
      </c>
      <c r="Y113" s="18">
        <v>0</v>
      </c>
      <c r="Z113" s="18">
        <v>0</v>
      </c>
      <c r="AA113" s="18">
        <v>0</v>
      </c>
      <c r="AB113" s="18">
        <v>0</v>
      </c>
      <c r="AC113" s="18">
        <v>0</v>
      </c>
      <c r="AD113" s="18">
        <v>0</v>
      </c>
      <c r="AE113" s="18">
        <v>0</v>
      </c>
      <c r="AF113" s="18">
        <v>0</v>
      </c>
      <c r="AG113" s="18">
        <v>0</v>
      </c>
      <c r="AH113" s="18">
        <v>0.24124585641992968</v>
      </c>
      <c r="AI113" s="18">
        <v>0.55873712347675819</v>
      </c>
      <c r="AJ113" s="18">
        <v>0</v>
      </c>
      <c r="AK113" s="18">
        <v>0.62202873211024334</v>
      </c>
      <c r="AL113" s="18">
        <v>1.4220117120069311</v>
      </c>
      <c r="AM113" s="18">
        <v>3.8581611869356314</v>
      </c>
      <c r="AN113" s="18">
        <v>0.90641047603196301</v>
      </c>
      <c r="AO113" s="18">
        <v>0</v>
      </c>
      <c r="AP113" s="18">
        <v>0</v>
      </c>
      <c r="AQ113" s="18">
        <v>4.7645716629675947</v>
      </c>
      <c r="AR113" s="18">
        <v>0.24124585641992968</v>
      </c>
      <c r="AS113" s="599">
        <v>19.749859059440354</v>
      </c>
      <c r="AT113" s="18">
        <v>3.8581611869356314</v>
      </c>
      <c r="AU113" s="18">
        <v>1.0729200293225984</v>
      </c>
      <c r="AV113" s="18">
        <v>0</v>
      </c>
      <c r="AW113" s="18">
        <v>0</v>
      </c>
      <c r="AX113" s="18">
        <v>4.9310812162582298</v>
      </c>
      <c r="AY113" s="18">
        <v>0.55873712347675819</v>
      </c>
      <c r="AZ113" s="599">
        <v>8.8254046653897493</v>
      </c>
      <c r="BA113" s="18">
        <v>3.8581611869356314</v>
      </c>
      <c r="BB113" s="18">
        <v>1.9793305053545613</v>
      </c>
      <c r="BC113" s="18">
        <v>0</v>
      </c>
      <c r="BD113" s="18">
        <v>0</v>
      </c>
      <c r="BE113" s="18">
        <v>5.8374916922901932</v>
      </c>
      <c r="BF113" s="18">
        <v>0.79998297989668776</v>
      </c>
      <c r="BG113" s="18">
        <v>-11.583531460056172</v>
      </c>
      <c r="BH113" s="599">
        <v>7.2970198604026111</v>
      </c>
      <c r="BI113" s="18">
        <v>2.3695127238796827</v>
      </c>
      <c r="BJ113" s="18">
        <v>5.4879065822277866</v>
      </c>
      <c r="BK113" s="18">
        <v>0</v>
      </c>
      <c r="BL113" s="18">
        <v>6.1095556923820666</v>
      </c>
      <c r="BM113" s="18">
        <v>13.966974998489535</v>
      </c>
      <c r="BN113" s="18">
        <v>3.8581611869356314</v>
      </c>
      <c r="BO113" s="18">
        <v>0</v>
      </c>
      <c r="BP113" s="18">
        <v>1.9793305053545613</v>
      </c>
      <c r="BQ113" s="18">
        <v>0</v>
      </c>
      <c r="BR113" s="18">
        <v>0</v>
      </c>
      <c r="BS113" s="18">
        <v>0</v>
      </c>
      <c r="BT113" s="18">
        <v>0</v>
      </c>
      <c r="BU113" s="18">
        <v>0</v>
      </c>
      <c r="BV113" s="18">
        <v>0</v>
      </c>
      <c r="BW113" s="18">
        <v>0</v>
      </c>
      <c r="BX113" s="18">
        <v>1.2360183168997092</v>
      </c>
      <c r="BY113" s="18">
        <v>0.18599339510722196</v>
      </c>
      <c r="BZ113" s="18">
        <v>0</v>
      </c>
      <c r="CA113" s="18">
        <v>0</v>
      </c>
      <c r="CB113" s="18">
        <v>5.8374916922901932</v>
      </c>
      <c r="CC113" s="18">
        <v>1.4220117120069311</v>
      </c>
      <c r="CD113" s="599">
        <v>4.105093961604263</v>
      </c>
      <c r="CE113" s="18">
        <v>-5.4739757676741085</v>
      </c>
      <c r="CF113" s="18">
        <v>7.1170401035891229E-2</v>
      </c>
      <c r="CG113" s="18">
        <v>0</v>
      </c>
      <c r="CH113" s="18">
        <v>7.1170401035891229E-2</v>
      </c>
      <c r="CI113" s="18">
        <v>3.5584801014595471E-3</v>
      </c>
      <c r="CJ113" s="18">
        <v>0</v>
      </c>
      <c r="CK113" s="18">
        <v>3.5584801014595471E-3</v>
      </c>
      <c r="CL113" s="18"/>
      <c r="CM113" s="18">
        <v>0</v>
      </c>
      <c r="CN113" s="18"/>
      <c r="CO113" s="18">
        <v>0</v>
      </c>
      <c r="CP113" s="18">
        <v>0</v>
      </c>
      <c r="CQ113" s="18">
        <v>0</v>
      </c>
      <c r="CR113" s="18">
        <v>0</v>
      </c>
      <c r="CS113" s="18">
        <v>0</v>
      </c>
      <c r="CT113" s="18">
        <v>0</v>
      </c>
      <c r="CU113" s="18">
        <v>0</v>
      </c>
      <c r="CV113" s="18">
        <v>9999</v>
      </c>
      <c r="CW113" s="599">
        <v>9999</v>
      </c>
    </row>
    <row r="114" spans="1:101">
      <c r="A114" t="s">
        <v>556</v>
      </c>
      <c r="C114" s="18">
        <v>14.999999999999998</v>
      </c>
      <c r="D114" s="18">
        <v>6.9735697018533438</v>
      </c>
      <c r="E114" s="18">
        <v>0</v>
      </c>
      <c r="F114" s="18">
        <v>0.92996697553610974</v>
      </c>
      <c r="G114" s="18">
        <v>0</v>
      </c>
      <c r="H114" s="18">
        <v>0</v>
      </c>
      <c r="I114" s="18"/>
      <c r="J114" s="18"/>
      <c r="K114" s="18"/>
      <c r="L114" s="18">
        <v>7.4915370557043142</v>
      </c>
      <c r="M114" s="18">
        <v>2.5652026670245219E-3</v>
      </c>
      <c r="N114" s="18">
        <v>2.5466881845226013E-3</v>
      </c>
      <c r="O114" s="18">
        <v>0</v>
      </c>
      <c r="P114" s="18">
        <v>0</v>
      </c>
      <c r="Q114" s="18">
        <v>0</v>
      </c>
      <c r="R114" s="18">
        <v>0.18544783788776309</v>
      </c>
      <c r="S114" s="18">
        <v>0.42854174690170277</v>
      </c>
      <c r="T114" s="18">
        <v>0</v>
      </c>
      <c r="U114" s="18">
        <v>0.62202873211024334</v>
      </c>
      <c r="V114" s="18">
        <v>5.5798018532166586E-2</v>
      </c>
      <c r="W114" s="18">
        <v>0.13019537657505537</v>
      </c>
      <c r="X114" s="18">
        <v>0</v>
      </c>
      <c r="Y114" s="18">
        <v>0</v>
      </c>
      <c r="Z114" s="18">
        <v>0</v>
      </c>
      <c r="AA114" s="18">
        <v>0</v>
      </c>
      <c r="AB114" s="18">
        <v>0</v>
      </c>
      <c r="AC114" s="18">
        <v>0</v>
      </c>
      <c r="AD114" s="18">
        <v>0</v>
      </c>
      <c r="AE114" s="18">
        <v>0</v>
      </c>
      <c r="AF114" s="18">
        <v>0</v>
      </c>
      <c r="AG114" s="18">
        <v>0</v>
      </c>
      <c r="AH114" s="18">
        <v>0.24124585641992968</v>
      </c>
      <c r="AI114" s="18">
        <v>0.55873712347675819</v>
      </c>
      <c r="AJ114" s="18">
        <v>0</v>
      </c>
      <c r="AK114" s="18">
        <v>0.62202873211024334</v>
      </c>
      <c r="AL114" s="18">
        <v>1.4220117120069311</v>
      </c>
      <c r="AM114" s="18">
        <v>3.8581611869356314</v>
      </c>
      <c r="AN114" s="18">
        <v>0.90641047603196301</v>
      </c>
      <c r="AO114" s="18">
        <v>0</v>
      </c>
      <c r="AP114" s="18">
        <v>0</v>
      </c>
      <c r="AQ114" s="18">
        <v>4.7645716629675947</v>
      </c>
      <c r="AR114" s="18">
        <v>0.24124585641992968</v>
      </c>
      <c r="AS114" s="599">
        <v>19.749859059440354</v>
      </c>
      <c r="AT114" s="18">
        <v>3.8581611869356314</v>
      </c>
      <c r="AU114" s="18">
        <v>1.0729200293225984</v>
      </c>
      <c r="AV114" s="18">
        <v>0</v>
      </c>
      <c r="AW114" s="18">
        <v>0</v>
      </c>
      <c r="AX114" s="18">
        <v>4.9310812162582298</v>
      </c>
      <c r="AY114" s="18">
        <v>0.55873712347675819</v>
      </c>
      <c r="AZ114" s="599">
        <v>8.8254046653897493</v>
      </c>
      <c r="BA114" s="18">
        <v>3.8581611869356314</v>
      </c>
      <c r="BB114" s="18">
        <v>1.9793305053545613</v>
      </c>
      <c r="BC114" s="18">
        <v>0</v>
      </c>
      <c r="BD114" s="18">
        <v>0</v>
      </c>
      <c r="BE114" s="18">
        <v>5.8374916922901932</v>
      </c>
      <c r="BF114" s="18">
        <v>0.79998297989668776</v>
      </c>
      <c r="BG114" s="18">
        <v>-11.583531460056172</v>
      </c>
      <c r="BH114" s="599">
        <v>7.2970198604026111</v>
      </c>
      <c r="BI114" s="18">
        <v>2.3695127238796827</v>
      </c>
      <c r="BJ114" s="18">
        <v>5.4879065822277866</v>
      </c>
      <c r="BK114" s="18">
        <v>0</v>
      </c>
      <c r="BL114" s="18">
        <v>6.1095556923820666</v>
      </c>
      <c r="BM114" s="18">
        <v>13.966974998489535</v>
      </c>
      <c r="BN114" s="18">
        <v>3.8581611869356314</v>
      </c>
      <c r="BO114" s="18">
        <v>0</v>
      </c>
      <c r="BP114" s="18">
        <v>1.9793305053545613</v>
      </c>
      <c r="BQ114" s="18">
        <v>0</v>
      </c>
      <c r="BR114" s="18">
        <v>0</v>
      </c>
      <c r="BS114" s="18">
        <v>0</v>
      </c>
      <c r="BT114" s="18">
        <v>0</v>
      </c>
      <c r="BU114" s="18">
        <v>0</v>
      </c>
      <c r="BV114" s="18">
        <v>0</v>
      </c>
      <c r="BW114" s="18">
        <v>0</v>
      </c>
      <c r="BX114" s="18">
        <v>1.2360183168997092</v>
      </c>
      <c r="BY114" s="18">
        <v>0.18599339510722196</v>
      </c>
      <c r="BZ114" s="18">
        <v>0</v>
      </c>
      <c r="CA114" s="18">
        <v>0</v>
      </c>
      <c r="CB114" s="18">
        <v>5.8374916922901932</v>
      </c>
      <c r="CC114" s="18">
        <v>1.4220117120069311</v>
      </c>
      <c r="CD114" s="599">
        <v>4.105093961604263</v>
      </c>
      <c r="CE114" s="18">
        <v>-5.4739757676741085</v>
      </c>
      <c r="CF114" s="18">
        <v>7.1170401035891229E-2</v>
      </c>
      <c r="CG114" s="18">
        <v>0</v>
      </c>
      <c r="CH114" s="18">
        <v>7.1170401035891229E-2</v>
      </c>
      <c r="CI114" s="18">
        <v>3.5584801014595471E-3</v>
      </c>
      <c r="CJ114" s="18">
        <v>0</v>
      </c>
      <c r="CK114" s="18">
        <v>3.5584801014595471E-3</v>
      </c>
      <c r="CL114" s="18"/>
      <c r="CM114" s="18">
        <v>0</v>
      </c>
      <c r="CN114" s="18"/>
      <c r="CO114" s="18">
        <v>0</v>
      </c>
      <c r="CP114" s="18">
        <v>0</v>
      </c>
      <c r="CQ114" s="18">
        <v>0</v>
      </c>
      <c r="CR114" s="18">
        <v>0</v>
      </c>
      <c r="CS114" s="18">
        <v>0</v>
      </c>
      <c r="CT114" s="18">
        <v>0</v>
      </c>
      <c r="CU114" s="18">
        <v>0</v>
      </c>
      <c r="CV114" s="18">
        <v>9999</v>
      </c>
      <c r="CW114" s="599">
        <v>9999</v>
      </c>
    </row>
    <row r="115" spans="1:101">
      <c r="A115" t="s">
        <v>563</v>
      </c>
      <c r="C115" s="18">
        <v>14.999999999999998</v>
      </c>
      <c r="D115" s="18">
        <v>6.9735697018533438</v>
      </c>
      <c r="E115" s="18">
        <v>0</v>
      </c>
      <c r="F115" s="18">
        <v>0.92996697553610974</v>
      </c>
      <c r="G115" s="18">
        <v>0</v>
      </c>
      <c r="H115" s="18">
        <v>0</v>
      </c>
      <c r="I115" s="18"/>
      <c r="J115" s="18"/>
      <c r="K115" s="18"/>
      <c r="L115" s="18">
        <v>7.4915370557043142</v>
      </c>
      <c r="M115" s="18">
        <v>2.5652026670245219E-3</v>
      </c>
      <c r="N115" s="18">
        <v>2.5466881845226013E-3</v>
      </c>
      <c r="O115" s="18">
        <v>0</v>
      </c>
      <c r="P115" s="18">
        <v>0</v>
      </c>
      <c r="Q115" s="18">
        <v>0</v>
      </c>
      <c r="R115" s="18">
        <v>0.18544783788776309</v>
      </c>
      <c r="S115" s="18">
        <v>0.42854174690170277</v>
      </c>
      <c r="T115" s="18">
        <v>0</v>
      </c>
      <c r="U115" s="18">
        <v>0.62202873211024334</v>
      </c>
      <c r="V115" s="18">
        <v>5.5798018532166586E-2</v>
      </c>
      <c r="W115" s="18">
        <v>0.13019537657505537</v>
      </c>
      <c r="X115" s="18">
        <v>0</v>
      </c>
      <c r="Y115" s="18">
        <v>0</v>
      </c>
      <c r="Z115" s="18">
        <v>0</v>
      </c>
      <c r="AA115" s="18">
        <v>0</v>
      </c>
      <c r="AB115" s="18">
        <v>0</v>
      </c>
      <c r="AC115" s="18">
        <v>0</v>
      </c>
      <c r="AD115" s="18">
        <v>0</v>
      </c>
      <c r="AE115" s="18">
        <v>0</v>
      </c>
      <c r="AF115" s="18">
        <v>0</v>
      </c>
      <c r="AG115" s="18">
        <v>0</v>
      </c>
      <c r="AH115" s="18">
        <v>0.24124585641992968</v>
      </c>
      <c r="AI115" s="18">
        <v>0.55873712347675819</v>
      </c>
      <c r="AJ115" s="18">
        <v>0</v>
      </c>
      <c r="AK115" s="18">
        <v>0.62202873211024334</v>
      </c>
      <c r="AL115" s="18">
        <v>1.4220117120069311</v>
      </c>
      <c r="AM115" s="18">
        <v>3.8581611869356314</v>
      </c>
      <c r="AN115" s="18">
        <v>0.90641047603196301</v>
      </c>
      <c r="AO115" s="18">
        <v>0</v>
      </c>
      <c r="AP115" s="18">
        <v>0</v>
      </c>
      <c r="AQ115" s="18">
        <v>4.7645716629675947</v>
      </c>
      <c r="AR115" s="18">
        <v>0.24124585641992968</v>
      </c>
      <c r="AS115" s="599">
        <v>19.749859059440354</v>
      </c>
      <c r="AT115" s="18">
        <v>3.8581611869356314</v>
      </c>
      <c r="AU115" s="18">
        <v>1.0729200293225984</v>
      </c>
      <c r="AV115" s="18">
        <v>0</v>
      </c>
      <c r="AW115" s="18">
        <v>0</v>
      </c>
      <c r="AX115" s="18">
        <v>4.9310812162582298</v>
      </c>
      <c r="AY115" s="18">
        <v>0.55873712347675819</v>
      </c>
      <c r="AZ115" s="599">
        <v>8.8254046653897493</v>
      </c>
      <c r="BA115" s="18">
        <v>3.8581611869356314</v>
      </c>
      <c r="BB115" s="18">
        <v>1.9793305053545613</v>
      </c>
      <c r="BC115" s="18">
        <v>0</v>
      </c>
      <c r="BD115" s="18">
        <v>0</v>
      </c>
      <c r="BE115" s="18">
        <v>5.8374916922901932</v>
      </c>
      <c r="BF115" s="18">
        <v>0.79998297989668776</v>
      </c>
      <c r="BG115" s="18">
        <v>-11.583531460056172</v>
      </c>
      <c r="BH115" s="599">
        <v>7.2970198604026111</v>
      </c>
      <c r="BI115" s="18">
        <v>2.3695127238796827</v>
      </c>
      <c r="BJ115" s="18">
        <v>5.4879065822277866</v>
      </c>
      <c r="BK115" s="18">
        <v>0</v>
      </c>
      <c r="BL115" s="18">
        <v>6.1095556923820666</v>
      </c>
      <c r="BM115" s="18">
        <v>13.966974998489535</v>
      </c>
      <c r="BN115" s="18">
        <v>3.8581611869356314</v>
      </c>
      <c r="BO115" s="18">
        <v>0</v>
      </c>
      <c r="BP115" s="18">
        <v>1.9793305053545613</v>
      </c>
      <c r="BQ115" s="18">
        <v>0</v>
      </c>
      <c r="BR115" s="18">
        <v>0</v>
      </c>
      <c r="BS115" s="18">
        <v>0</v>
      </c>
      <c r="BT115" s="18">
        <v>0</v>
      </c>
      <c r="BU115" s="18">
        <v>0</v>
      </c>
      <c r="BV115" s="18">
        <v>0</v>
      </c>
      <c r="BW115" s="18">
        <v>0</v>
      </c>
      <c r="BX115" s="18">
        <v>1.2360183168997092</v>
      </c>
      <c r="BY115" s="18">
        <v>0.18599339510722196</v>
      </c>
      <c r="BZ115" s="18">
        <v>0</v>
      </c>
      <c r="CA115" s="18">
        <v>0</v>
      </c>
      <c r="CB115" s="18">
        <v>5.8374916922901932</v>
      </c>
      <c r="CC115" s="18">
        <v>1.4220117120069311</v>
      </c>
      <c r="CD115" s="599">
        <v>4.105093961604263</v>
      </c>
      <c r="CE115" s="18">
        <v>-5.4739757676741085</v>
      </c>
      <c r="CF115" s="18">
        <v>7.1170401035891229E-2</v>
      </c>
      <c r="CG115" s="18">
        <v>0</v>
      </c>
      <c r="CH115" s="18">
        <v>7.1170401035891229E-2</v>
      </c>
      <c r="CI115" s="18">
        <v>3.5584801014595471E-3</v>
      </c>
      <c r="CJ115" s="18">
        <v>0</v>
      </c>
      <c r="CK115" s="18">
        <v>3.5584801014595471E-3</v>
      </c>
      <c r="CL115" s="18"/>
      <c r="CM115" s="18">
        <v>0</v>
      </c>
      <c r="CN115" s="18"/>
      <c r="CO115" s="18">
        <v>0</v>
      </c>
      <c r="CP115" s="18">
        <v>0</v>
      </c>
      <c r="CQ115" s="18">
        <v>0</v>
      </c>
      <c r="CR115" s="18">
        <v>0</v>
      </c>
      <c r="CS115" s="18">
        <v>0</v>
      </c>
      <c r="CT115" s="18">
        <v>0</v>
      </c>
      <c r="CU115" s="18">
        <v>0</v>
      </c>
      <c r="CV115" s="18">
        <v>9999</v>
      </c>
      <c r="CW115" s="599">
        <v>9999</v>
      </c>
    </row>
    <row r="116" spans="1:101">
      <c r="A116" t="s">
        <v>570</v>
      </c>
      <c r="C116" s="18">
        <v>14.999999999999998</v>
      </c>
      <c r="D116" s="18">
        <v>6.9735697018533438</v>
      </c>
      <c r="E116" s="18">
        <v>0</v>
      </c>
      <c r="F116" s="18">
        <v>0.92996697553610974</v>
      </c>
      <c r="G116" s="18">
        <v>0</v>
      </c>
      <c r="H116" s="18">
        <v>0</v>
      </c>
      <c r="I116" s="18"/>
      <c r="J116" s="18"/>
      <c r="K116" s="18"/>
      <c r="L116" s="18">
        <v>7.4915370557043142</v>
      </c>
      <c r="M116" s="18">
        <v>2.5652026670245219E-3</v>
      </c>
      <c r="N116" s="18">
        <v>2.5466881845226013E-3</v>
      </c>
      <c r="O116" s="18">
        <v>0</v>
      </c>
      <c r="P116" s="18">
        <v>0</v>
      </c>
      <c r="Q116" s="18">
        <v>0</v>
      </c>
      <c r="R116" s="18">
        <v>0.18544783788776309</v>
      </c>
      <c r="S116" s="18">
        <v>0.42854174690170277</v>
      </c>
      <c r="T116" s="18">
        <v>0</v>
      </c>
      <c r="U116" s="18">
        <v>0.62202873211024334</v>
      </c>
      <c r="V116" s="18">
        <v>5.5798018532166586E-2</v>
      </c>
      <c r="W116" s="18">
        <v>0.13019537657505537</v>
      </c>
      <c r="X116" s="18">
        <v>0</v>
      </c>
      <c r="Y116" s="18">
        <v>0</v>
      </c>
      <c r="Z116" s="18">
        <v>0</v>
      </c>
      <c r="AA116" s="18">
        <v>0</v>
      </c>
      <c r="AB116" s="18">
        <v>0</v>
      </c>
      <c r="AC116" s="18">
        <v>0</v>
      </c>
      <c r="AD116" s="18">
        <v>0</v>
      </c>
      <c r="AE116" s="18">
        <v>0</v>
      </c>
      <c r="AF116" s="18">
        <v>0</v>
      </c>
      <c r="AG116" s="18">
        <v>0</v>
      </c>
      <c r="AH116" s="18">
        <v>0.24124585641992968</v>
      </c>
      <c r="AI116" s="18">
        <v>0.55873712347675819</v>
      </c>
      <c r="AJ116" s="18">
        <v>0</v>
      </c>
      <c r="AK116" s="18">
        <v>0.62202873211024334</v>
      </c>
      <c r="AL116" s="18">
        <v>1.4220117120069311</v>
      </c>
      <c r="AM116" s="18">
        <v>3.8581611869356314</v>
      </c>
      <c r="AN116" s="18">
        <v>0.90641047603196301</v>
      </c>
      <c r="AO116" s="18">
        <v>0</v>
      </c>
      <c r="AP116" s="18">
        <v>0</v>
      </c>
      <c r="AQ116" s="18">
        <v>4.7645716629675947</v>
      </c>
      <c r="AR116" s="18">
        <v>0.24124585641992968</v>
      </c>
      <c r="AS116" s="599">
        <v>19.749859059440354</v>
      </c>
      <c r="AT116" s="18">
        <v>3.8581611869356314</v>
      </c>
      <c r="AU116" s="18">
        <v>1.0729200293225984</v>
      </c>
      <c r="AV116" s="18">
        <v>0</v>
      </c>
      <c r="AW116" s="18">
        <v>0</v>
      </c>
      <c r="AX116" s="18">
        <v>4.9310812162582298</v>
      </c>
      <c r="AY116" s="18">
        <v>0.55873712347675819</v>
      </c>
      <c r="AZ116" s="599">
        <v>8.8254046653897493</v>
      </c>
      <c r="BA116" s="18">
        <v>3.8581611869356314</v>
      </c>
      <c r="BB116" s="18">
        <v>1.9793305053545613</v>
      </c>
      <c r="BC116" s="18">
        <v>0</v>
      </c>
      <c r="BD116" s="18">
        <v>0</v>
      </c>
      <c r="BE116" s="18">
        <v>5.8374916922901932</v>
      </c>
      <c r="BF116" s="18">
        <v>0.79998297989668776</v>
      </c>
      <c r="BG116" s="18">
        <v>-11.583531460056172</v>
      </c>
      <c r="BH116" s="599">
        <v>7.2970198604026111</v>
      </c>
      <c r="BI116" s="18">
        <v>2.3695127238796827</v>
      </c>
      <c r="BJ116" s="18">
        <v>5.4879065822277866</v>
      </c>
      <c r="BK116" s="18">
        <v>0</v>
      </c>
      <c r="BL116" s="18">
        <v>6.1095556923820666</v>
      </c>
      <c r="BM116" s="18">
        <v>13.966974998489535</v>
      </c>
      <c r="BN116" s="18">
        <v>3.8581611869356314</v>
      </c>
      <c r="BO116" s="18">
        <v>0</v>
      </c>
      <c r="BP116" s="18">
        <v>1.9793305053545613</v>
      </c>
      <c r="BQ116" s="18">
        <v>0</v>
      </c>
      <c r="BR116" s="18">
        <v>0</v>
      </c>
      <c r="BS116" s="18">
        <v>0</v>
      </c>
      <c r="BT116" s="18">
        <v>0</v>
      </c>
      <c r="BU116" s="18">
        <v>0</v>
      </c>
      <c r="BV116" s="18">
        <v>0</v>
      </c>
      <c r="BW116" s="18">
        <v>0</v>
      </c>
      <c r="BX116" s="18">
        <v>1.2360183168997092</v>
      </c>
      <c r="BY116" s="18">
        <v>0.18599339510722196</v>
      </c>
      <c r="BZ116" s="18">
        <v>0</v>
      </c>
      <c r="CA116" s="18">
        <v>0</v>
      </c>
      <c r="CB116" s="18">
        <v>5.8374916922901932</v>
      </c>
      <c r="CC116" s="18">
        <v>1.4220117120069311</v>
      </c>
      <c r="CD116" s="599">
        <v>4.105093961604263</v>
      </c>
      <c r="CE116" s="18">
        <v>-5.4739757676741085</v>
      </c>
      <c r="CF116" s="18">
        <v>7.1170401035891229E-2</v>
      </c>
      <c r="CG116" s="18">
        <v>0</v>
      </c>
      <c r="CH116" s="18">
        <v>7.1170401035891229E-2</v>
      </c>
      <c r="CI116" s="18">
        <v>3.5584801014595471E-3</v>
      </c>
      <c r="CJ116" s="18">
        <v>0</v>
      </c>
      <c r="CK116" s="18">
        <v>3.5584801014595471E-3</v>
      </c>
      <c r="CL116" s="18"/>
      <c r="CM116" s="18">
        <v>0</v>
      </c>
      <c r="CN116" s="18"/>
      <c r="CO116" s="18">
        <v>0</v>
      </c>
      <c r="CP116" s="18">
        <v>0</v>
      </c>
      <c r="CQ116" s="18">
        <v>0</v>
      </c>
      <c r="CR116" s="18">
        <v>0</v>
      </c>
      <c r="CS116" s="18">
        <v>0</v>
      </c>
      <c r="CT116" s="18">
        <v>0</v>
      </c>
      <c r="CU116" s="18">
        <v>0</v>
      </c>
      <c r="CV116" s="18">
        <v>9999</v>
      </c>
      <c r="CW116" s="599">
        <v>9999</v>
      </c>
    </row>
    <row r="117" spans="1:101">
      <c r="A117" t="s">
        <v>555</v>
      </c>
      <c r="C117" s="18">
        <v>15</v>
      </c>
      <c r="D117" s="18">
        <v>2.8336615973578971</v>
      </c>
      <c r="E117" s="18">
        <v>0</v>
      </c>
      <c r="F117" s="18">
        <v>0.3776042842716732</v>
      </c>
      <c r="G117" s="18">
        <v>0</v>
      </c>
      <c r="H117" s="18">
        <v>0</v>
      </c>
      <c r="I117" s="18"/>
      <c r="J117" s="18"/>
      <c r="K117" s="18"/>
      <c r="L117" s="18">
        <v>3.0449198475183858</v>
      </c>
      <c r="M117" s="18">
        <v>5.3639795134547634E-4</v>
      </c>
      <c r="N117" s="18">
        <v>5.3252647147688115E-4</v>
      </c>
      <c r="O117" s="18">
        <v>0</v>
      </c>
      <c r="P117" s="18">
        <v>0</v>
      </c>
      <c r="Q117" s="18">
        <v>0</v>
      </c>
      <c r="R117" s="18">
        <v>7.5299338511423314E-2</v>
      </c>
      <c r="S117" s="18">
        <v>0.17400531833516353</v>
      </c>
      <c r="T117" s="18">
        <v>0</v>
      </c>
      <c r="U117" s="18">
        <v>0.2525688764910175</v>
      </c>
      <c r="V117" s="18">
        <v>2.2656257056300391E-2</v>
      </c>
      <c r="W117" s="18">
        <v>5.2864599798034248E-2</v>
      </c>
      <c r="X117" s="18">
        <v>0</v>
      </c>
      <c r="Y117" s="18">
        <v>0</v>
      </c>
      <c r="Z117" s="18">
        <v>0</v>
      </c>
      <c r="AA117" s="18">
        <v>0</v>
      </c>
      <c r="AB117" s="18">
        <v>0</v>
      </c>
      <c r="AC117" s="18">
        <v>0</v>
      </c>
      <c r="AD117" s="18">
        <v>0</v>
      </c>
      <c r="AE117" s="18">
        <v>0</v>
      </c>
      <c r="AF117" s="18">
        <v>0</v>
      </c>
      <c r="AG117" s="18">
        <v>0</v>
      </c>
      <c r="AH117" s="18">
        <v>9.7955595567723708E-2</v>
      </c>
      <c r="AI117" s="18">
        <v>0.22686991813319779</v>
      </c>
      <c r="AJ117" s="18">
        <v>0</v>
      </c>
      <c r="AK117" s="18">
        <v>0.2525688764910175</v>
      </c>
      <c r="AL117" s="18">
        <v>0.57739439019193894</v>
      </c>
      <c r="AM117" s="18">
        <v>1.577641528312353</v>
      </c>
      <c r="AN117" s="18">
        <v>0.18953540344848516</v>
      </c>
      <c r="AO117" s="18">
        <v>0</v>
      </c>
      <c r="AP117" s="18">
        <v>0</v>
      </c>
      <c r="AQ117" s="18">
        <v>1.7671769317608381</v>
      </c>
      <c r="AR117" s="18">
        <v>9.7955595567723708E-2</v>
      </c>
      <c r="AS117" s="599">
        <v>18.040591979649211</v>
      </c>
      <c r="AT117" s="18">
        <v>1.577641528312353</v>
      </c>
      <c r="AU117" s="18">
        <v>0.22435346457585315</v>
      </c>
      <c r="AV117" s="18">
        <v>0</v>
      </c>
      <c r="AW117" s="18">
        <v>0</v>
      </c>
      <c r="AX117" s="18">
        <v>1.8019949928882062</v>
      </c>
      <c r="AY117" s="18">
        <v>0.22686991813319779</v>
      </c>
      <c r="AZ117" s="599">
        <v>7.9428555699051975</v>
      </c>
      <c r="BA117" s="18">
        <v>1.577641528312353</v>
      </c>
      <c r="BB117" s="18">
        <v>0.41388886802433833</v>
      </c>
      <c r="BC117" s="18">
        <v>0</v>
      </c>
      <c r="BD117" s="18">
        <v>0</v>
      </c>
      <c r="BE117" s="18">
        <v>1.9915303963366913</v>
      </c>
      <c r="BF117" s="18">
        <v>0.3248255137009215</v>
      </c>
      <c r="BG117" s="18">
        <v>-2.1522528767372697</v>
      </c>
      <c r="BH117" s="599">
        <v>6.1310774934088608</v>
      </c>
      <c r="BI117" s="18">
        <v>2.3671375725146619</v>
      </c>
      <c r="BJ117" s="18">
        <v>5.4824056162787462</v>
      </c>
      <c r="BK117" s="18">
        <v>0</v>
      </c>
      <c r="BL117" s="18">
        <v>6.1034315980076475</v>
      </c>
      <c r="BM117" s="18">
        <v>13.952974786801054</v>
      </c>
      <c r="BN117" s="18">
        <v>1.577641528312353</v>
      </c>
      <c r="BO117" s="18">
        <v>0</v>
      </c>
      <c r="BP117" s="18">
        <v>0.41388886802433833</v>
      </c>
      <c r="BQ117" s="18">
        <v>0</v>
      </c>
      <c r="BR117" s="18">
        <v>0</v>
      </c>
      <c r="BS117" s="18">
        <v>0</v>
      </c>
      <c r="BT117" s="18">
        <v>0</v>
      </c>
      <c r="BU117" s="18">
        <v>0</v>
      </c>
      <c r="BV117" s="18">
        <v>0</v>
      </c>
      <c r="BW117" s="18">
        <v>0</v>
      </c>
      <c r="BX117" s="18">
        <v>0.50187353333760432</v>
      </c>
      <c r="BY117" s="18">
        <v>7.5520856854334642E-2</v>
      </c>
      <c r="BZ117" s="18">
        <v>0</v>
      </c>
      <c r="CA117" s="18">
        <v>0</v>
      </c>
      <c r="CB117" s="18">
        <v>1.9915303963366913</v>
      </c>
      <c r="CC117" s="18">
        <v>0.57739439019193894</v>
      </c>
      <c r="CD117" s="599">
        <v>3.4491682464643647</v>
      </c>
      <c r="CE117" s="18">
        <v>3.9511787212703759</v>
      </c>
      <c r="CF117" s="18">
        <v>2.8927027493569818E-2</v>
      </c>
      <c r="CG117" s="18">
        <v>0</v>
      </c>
      <c r="CH117" s="18">
        <v>2.8927027493569818E-2</v>
      </c>
      <c r="CI117" s="18">
        <v>1.446336927571233E-3</v>
      </c>
      <c r="CJ117" s="18">
        <v>0</v>
      </c>
      <c r="CK117" s="18">
        <v>1.446336927571233E-3</v>
      </c>
      <c r="CL117" s="18"/>
      <c r="CM117" s="18">
        <v>0</v>
      </c>
      <c r="CN117" s="18"/>
      <c r="CO117" s="18">
        <v>0</v>
      </c>
      <c r="CP117" s="18">
        <v>0</v>
      </c>
      <c r="CQ117" s="18">
        <v>0</v>
      </c>
      <c r="CR117" s="18">
        <v>0</v>
      </c>
      <c r="CS117" s="18">
        <v>0</v>
      </c>
      <c r="CT117" s="18">
        <v>0</v>
      </c>
      <c r="CU117" s="18">
        <v>0</v>
      </c>
      <c r="CV117" s="18">
        <v>9999</v>
      </c>
      <c r="CW117" s="599">
        <v>9999</v>
      </c>
    </row>
    <row r="118" spans="1:101">
      <c r="A118" t="s">
        <v>562</v>
      </c>
      <c r="C118" s="18">
        <v>15</v>
      </c>
      <c r="D118" s="18">
        <v>2.8336615973578971</v>
      </c>
      <c r="E118" s="18">
        <v>0</v>
      </c>
      <c r="F118" s="18">
        <v>0.3776042842716732</v>
      </c>
      <c r="G118" s="18">
        <v>0</v>
      </c>
      <c r="H118" s="18">
        <v>0</v>
      </c>
      <c r="I118" s="18"/>
      <c r="J118" s="18"/>
      <c r="K118" s="18"/>
      <c r="L118" s="18">
        <v>3.0449198475183858</v>
      </c>
      <c r="M118" s="18">
        <v>5.3639795134547634E-4</v>
      </c>
      <c r="N118" s="18">
        <v>5.3252647147688115E-4</v>
      </c>
      <c r="O118" s="18">
        <v>0</v>
      </c>
      <c r="P118" s="18">
        <v>0</v>
      </c>
      <c r="Q118" s="18">
        <v>0</v>
      </c>
      <c r="R118" s="18">
        <v>7.5299338511423314E-2</v>
      </c>
      <c r="S118" s="18">
        <v>0.17400531833516353</v>
      </c>
      <c r="T118" s="18">
        <v>0</v>
      </c>
      <c r="U118" s="18">
        <v>0.2525688764910175</v>
      </c>
      <c r="V118" s="18">
        <v>2.2656257056300391E-2</v>
      </c>
      <c r="W118" s="18">
        <v>5.2864599798034248E-2</v>
      </c>
      <c r="X118" s="18">
        <v>0</v>
      </c>
      <c r="Y118" s="18">
        <v>0</v>
      </c>
      <c r="Z118" s="18">
        <v>0</v>
      </c>
      <c r="AA118" s="18">
        <v>0</v>
      </c>
      <c r="AB118" s="18">
        <v>0</v>
      </c>
      <c r="AC118" s="18">
        <v>0</v>
      </c>
      <c r="AD118" s="18">
        <v>0</v>
      </c>
      <c r="AE118" s="18">
        <v>0</v>
      </c>
      <c r="AF118" s="18">
        <v>0</v>
      </c>
      <c r="AG118" s="18">
        <v>0</v>
      </c>
      <c r="AH118" s="18">
        <v>9.7955595567723708E-2</v>
      </c>
      <c r="AI118" s="18">
        <v>0.22686991813319779</v>
      </c>
      <c r="AJ118" s="18">
        <v>0</v>
      </c>
      <c r="AK118" s="18">
        <v>0.2525688764910175</v>
      </c>
      <c r="AL118" s="18">
        <v>0.57739439019193894</v>
      </c>
      <c r="AM118" s="18">
        <v>1.577641528312353</v>
      </c>
      <c r="AN118" s="18">
        <v>0.18953540344848516</v>
      </c>
      <c r="AO118" s="18">
        <v>0</v>
      </c>
      <c r="AP118" s="18">
        <v>0</v>
      </c>
      <c r="AQ118" s="18">
        <v>1.7671769317608381</v>
      </c>
      <c r="AR118" s="18">
        <v>9.7955595567723708E-2</v>
      </c>
      <c r="AS118" s="599">
        <v>18.040591979649211</v>
      </c>
      <c r="AT118" s="18">
        <v>1.577641528312353</v>
      </c>
      <c r="AU118" s="18">
        <v>0.22435346457585315</v>
      </c>
      <c r="AV118" s="18">
        <v>0</v>
      </c>
      <c r="AW118" s="18">
        <v>0</v>
      </c>
      <c r="AX118" s="18">
        <v>1.8019949928882062</v>
      </c>
      <c r="AY118" s="18">
        <v>0.22686991813319779</v>
      </c>
      <c r="AZ118" s="599">
        <v>7.9428555699051975</v>
      </c>
      <c r="BA118" s="18">
        <v>1.577641528312353</v>
      </c>
      <c r="BB118" s="18">
        <v>0.41388886802433833</v>
      </c>
      <c r="BC118" s="18">
        <v>0</v>
      </c>
      <c r="BD118" s="18">
        <v>0</v>
      </c>
      <c r="BE118" s="18">
        <v>1.9915303963366913</v>
      </c>
      <c r="BF118" s="18">
        <v>0.3248255137009215</v>
      </c>
      <c r="BG118" s="18">
        <v>-2.1522528767372697</v>
      </c>
      <c r="BH118" s="599">
        <v>6.1310774934088608</v>
      </c>
      <c r="BI118" s="18">
        <v>2.3671375725146619</v>
      </c>
      <c r="BJ118" s="18">
        <v>5.4824056162787462</v>
      </c>
      <c r="BK118" s="18">
        <v>0</v>
      </c>
      <c r="BL118" s="18">
        <v>6.1034315980076475</v>
      </c>
      <c r="BM118" s="18">
        <v>13.952974786801054</v>
      </c>
      <c r="BN118" s="18">
        <v>1.577641528312353</v>
      </c>
      <c r="BO118" s="18">
        <v>0</v>
      </c>
      <c r="BP118" s="18">
        <v>0.41388886802433833</v>
      </c>
      <c r="BQ118" s="18">
        <v>0</v>
      </c>
      <c r="BR118" s="18">
        <v>0</v>
      </c>
      <c r="BS118" s="18">
        <v>0</v>
      </c>
      <c r="BT118" s="18">
        <v>0</v>
      </c>
      <c r="BU118" s="18">
        <v>0</v>
      </c>
      <c r="BV118" s="18">
        <v>0</v>
      </c>
      <c r="BW118" s="18">
        <v>0</v>
      </c>
      <c r="BX118" s="18">
        <v>0.50187353333760432</v>
      </c>
      <c r="BY118" s="18">
        <v>7.5520856854334642E-2</v>
      </c>
      <c r="BZ118" s="18">
        <v>0</v>
      </c>
      <c r="CA118" s="18">
        <v>0</v>
      </c>
      <c r="CB118" s="18">
        <v>1.9915303963366913</v>
      </c>
      <c r="CC118" s="18">
        <v>0.57739439019193894</v>
      </c>
      <c r="CD118" s="599">
        <v>3.4491682464643647</v>
      </c>
      <c r="CE118" s="18">
        <v>3.9511787212703759</v>
      </c>
      <c r="CF118" s="18">
        <v>2.8927027493569818E-2</v>
      </c>
      <c r="CG118" s="18">
        <v>0</v>
      </c>
      <c r="CH118" s="18">
        <v>2.8927027493569818E-2</v>
      </c>
      <c r="CI118" s="18">
        <v>1.446336927571233E-3</v>
      </c>
      <c r="CJ118" s="18">
        <v>0</v>
      </c>
      <c r="CK118" s="18">
        <v>1.446336927571233E-3</v>
      </c>
      <c r="CL118" s="18"/>
      <c r="CM118" s="18">
        <v>0</v>
      </c>
      <c r="CN118" s="18"/>
      <c r="CO118" s="18">
        <v>0</v>
      </c>
      <c r="CP118" s="18">
        <v>0</v>
      </c>
      <c r="CQ118" s="18">
        <v>0</v>
      </c>
      <c r="CR118" s="18">
        <v>0</v>
      </c>
      <c r="CS118" s="18">
        <v>0</v>
      </c>
      <c r="CT118" s="18">
        <v>0</v>
      </c>
      <c r="CU118" s="18">
        <v>0</v>
      </c>
      <c r="CV118" s="18">
        <v>9999</v>
      </c>
      <c r="CW118" s="599">
        <v>9999</v>
      </c>
    </row>
    <row r="119" spans="1:101">
      <c r="A119" t="s">
        <v>569</v>
      </c>
      <c r="C119" s="18">
        <v>15</v>
      </c>
      <c r="D119" s="18">
        <v>2.8336615973578971</v>
      </c>
      <c r="E119" s="18">
        <v>0</v>
      </c>
      <c r="F119" s="18">
        <v>0.3776042842716732</v>
      </c>
      <c r="G119" s="18">
        <v>0</v>
      </c>
      <c r="H119" s="18">
        <v>0</v>
      </c>
      <c r="I119" s="18"/>
      <c r="J119" s="18"/>
      <c r="K119" s="18"/>
      <c r="L119" s="18">
        <v>3.0449198475183858</v>
      </c>
      <c r="M119" s="18">
        <v>5.3639795134547634E-4</v>
      </c>
      <c r="N119" s="18">
        <v>5.3252647147688115E-4</v>
      </c>
      <c r="O119" s="18">
        <v>0</v>
      </c>
      <c r="P119" s="18">
        <v>0</v>
      </c>
      <c r="Q119" s="18">
        <v>0</v>
      </c>
      <c r="R119" s="18">
        <v>7.5299338511423314E-2</v>
      </c>
      <c r="S119" s="18">
        <v>0.17400531833516353</v>
      </c>
      <c r="T119" s="18">
        <v>0</v>
      </c>
      <c r="U119" s="18">
        <v>0.2525688764910175</v>
      </c>
      <c r="V119" s="18">
        <v>2.2656257056300391E-2</v>
      </c>
      <c r="W119" s="18">
        <v>5.2864599798034248E-2</v>
      </c>
      <c r="X119" s="18">
        <v>0</v>
      </c>
      <c r="Y119" s="18">
        <v>0</v>
      </c>
      <c r="Z119" s="18">
        <v>0</v>
      </c>
      <c r="AA119" s="18">
        <v>0</v>
      </c>
      <c r="AB119" s="18">
        <v>0</v>
      </c>
      <c r="AC119" s="18">
        <v>0</v>
      </c>
      <c r="AD119" s="18">
        <v>0</v>
      </c>
      <c r="AE119" s="18">
        <v>0</v>
      </c>
      <c r="AF119" s="18">
        <v>0</v>
      </c>
      <c r="AG119" s="18">
        <v>0</v>
      </c>
      <c r="AH119" s="18">
        <v>9.7955595567723708E-2</v>
      </c>
      <c r="AI119" s="18">
        <v>0.22686991813319779</v>
      </c>
      <c r="AJ119" s="18">
        <v>0</v>
      </c>
      <c r="AK119" s="18">
        <v>0.2525688764910175</v>
      </c>
      <c r="AL119" s="18">
        <v>0.57739439019193894</v>
      </c>
      <c r="AM119" s="18">
        <v>1.577641528312353</v>
      </c>
      <c r="AN119" s="18">
        <v>0.18953540344848516</v>
      </c>
      <c r="AO119" s="18">
        <v>0</v>
      </c>
      <c r="AP119" s="18">
        <v>0</v>
      </c>
      <c r="AQ119" s="18">
        <v>1.7671769317608381</v>
      </c>
      <c r="AR119" s="18">
        <v>9.7955595567723708E-2</v>
      </c>
      <c r="AS119" s="599">
        <v>18.040591979649211</v>
      </c>
      <c r="AT119" s="18">
        <v>1.577641528312353</v>
      </c>
      <c r="AU119" s="18">
        <v>0.22435346457585315</v>
      </c>
      <c r="AV119" s="18">
        <v>0</v>
      </c>
      <c r="AW119" s="18">
        <v>0</v>
      </c>
      <c r="AX119" s="18">
        <v>1.8019949928882062</v>
      </c>
      <c r="AY119" s="18">
        <v>0.22686991813319779</v>
      </c>
      <c r="AZ119" s="599">
        <v>7.9428555699051975</v>
      </c>
      <c r="BA119" s="18">
        <v>1.577641528312353</v>
      </c>
      <c r="BB119" s="18">
        <v>0.41388886802433833</v>
      </c>
      <c r="BC119" s="18">
        <v>0</v>
      </c>
      <c r="BD119" s="18">
        <v>0</v>
      </c>
      <c r="BE119" s="18">
        <v>1.9915303963366913</v>
      </c>
      <c r="BF119" s="18">
        <v>0.3248255137009215</v>
      </c>
      <c r="BG119" s="18">
        <v>-2.1522528767372697</v>
      </c>
      <c r="BH119" s="599">
        <v>6.1310774934088608</v>
      </c>
      <c r="BI119" s="18">
        <v>2.3671375725146619</v>
      </c>
      <c r="BJ119" s="18">
        <v>5.4824056162787462</v>
      </c>
      <c r="BK119" s="18">
        <v>0</v>
      </c>
      <c r="BL119" s="18">
        <v>6.1034315980076475</v>
      </c>
      <c r="BM119" s="18">
        <v>13.952974786801054</v>
      </c>
      <c r="BN119" s="18">
        <v>1.577641528312353</v>
      </c>
      <c r="BO119" s="18">
        <v>0</v>
      </c>
      <c r="BP119" s="18">
        <v>0.41388886802433833</v>
      </c>
      <c r="BQ119" s="18">
        <v>0</v>
      </c>
      <c r="BR119" s="18">
        <v>0</v>
      </c>
      <c r="BS119" s="18">
        <v>0</v>
      </c>
      <c r="BT119" s="18">
        <v>0</v>
      </c>
      <c r="BU119" s="18">
        <v>0</v>
      </c>
      <c r="BV119" s="18">
        <v>0</v>
      </c>
      <c r="BW119" s="18">
        <v>0</v>
      </c>
      <c r="BX119" s="18">
        <v>0.50187353333760432</v>
      </c>
      <c r="BY119" s="18">
        <v>7.5520856854334642E-2</v>
      </c>
      <c r="BZ119" s="18">
        <v>0</v>
      </c>
      <c r="CA119" s="18">
        <v>0</v>
      </c>
      <c r="CB119" s="18">
        <v>1.9915303963366913</v>
      </c>
      <c r="CC119" s="18">
        <v>0.57739439019193894</v>
      </c>
      <c r="CD119" s="599">
        <v>3.4491682464643647</v>
      </c>
      <c r="CE119" s="18">
        <v>3.9511787212703759</v>
      </c>
      <c r="CF119" s="18">
        <v>2.8927027493569818E-2</v>
      </c>
      <c r="CG119" s="18">
        <v>0</v>
      </c>
      <c r="CH119" s="18">
        <v>2.8927027493569818E-2</v>
      </c>
      <c r="CI119" s="18">
        <v>1.446336927571233E-3</v>
      </c>
      <c r="CJ119" s="18">
        <v>0</v>
      </c>
      <c r="CK119" s="18">
        <v>1.446336927571233E-3</v>
      </c>
      <c r="CL119" s="18"/>
      <c r="CM119" s="18">
        <v>0</v>
      </c>
      <c r="CN119" s="18"/>
      <c r="CO119" s="18">
        <v>0</v>
      </c>
      <c r="CP119" s="18">
        <v>0</v>
      </c>
      <c r="CQ119" s="18">
        <v>0</v>
      </c>
      <c r="CR119" s="18">
        <v>0</v>
      </c>
      <c r="CS119" s="18">
        <v>0</v>
      </c>
      <c r="CT119" s="18">
        <v>0</v>
      </c>
      <c r="CU119" s="18">
        <v>0</v>
      </c>
      <c r="CV119" s="18">
        <v>9999</v>
      </c>
      <c r="CW119" s="599">
        <v>9999</v>
      </c>
    </row>
    <row r="120" spans="1:101">
      <c r="A120" t="s">
        <v>576</v>
      </c>
      <c r="C120" s="18">
        <v>15</v>
      </c>
      <c r="D120" s="18">
        <v>2.8336615973578971</v>
      </c>
      <c r="E120" s="18">
        <v>0</v>
      </c>
      <c r="F120" s="18">
        <v>0.3776042842716732</v>
      </c>
      <c r="G120" s="18">
        <v>0</v>
      </c>
      <c r="H120" s="18">
        <v>0</v>
      </c>
      <c r="I120" s="18"/>
      <c r="J120" s="18"/>
      <c r="K120" s="18"/>
      <c r="L120" s="18">
        <v>3.0449198475183858</v>
      </c>
      <c r="M120" s="18">
        <v>5.3639795134547634E-4</v>
      </c>
      <c r="N120" s="18">
        <v>5.3252647147688115E-4</v>
      </c>
      <c r="O120" s="18">
        <v>0</v>
      </c>
      <c r="P120" s="18">
        <v>0</v>
      </c>
      <c r="Q120" s="18">
        <v>0</v>
      </c>
      <c r="R120" s="18">
        <v>7.5299338511423314E-2</v>
      </c>
      <c r="S120" s="18">
        <v>0.17400531833516353</v>
      </c>
      <c r="T120" s="18">
        <v>0</v>
      </c>
      <c r="U120" s="18">
        <v>0.2525688764910175</v>
      </c>
      <c r="V120" s="18">
        <v>2.2656257056300391E-2</v>
      </c>
      <c r="W120" s="18">
        <v>5.2864599798034248E-2</v>
      </c>
      <c r="X120" s="18">
        <v>0</v>
      </c>
      <c r="Y120" s="18">
        <v>0</v>
      </c>
      <c r="Z120" s="18">
        <v>0</v>
      </c>
      <c r="AA120" s="18">
        <v>0</v>
      </c>
      <c r="AB120" s="18">
        <v>0</v>
      </c>
      <c r="AC120" s="18">
        <v>0</v>
      </c>
      <c r="AD120" s="18">
        <v>0</v>
      </c>
      <c r="AE120" s="18">
        <v>0</v>
      </c>
      <c r="AF120" s="18">
        <v>0</v>
      </c>
      <c r="AG120" s="18">
        <v>0</v>
      </c>
      <c r="AH120" s="18">
        <v>9.7955595567723708E-2</v>
      </c>
      <c r="AI120" s="18">
        <v>0.22686991813319779</v>
      </c>
      <c r="AJ120" s="18">
        <v>0</v>
      </c>
      <c r="AK120" s="18">
        <v>0.2525688764910175</v>
      </c>
      <c r="AL120" s="18">
        <v>0.57739439019193894</v>
      </c>
      <c r="AM120" s="18">
        <v>1.577641528312353</v>
      </c>
      <c r="AN120" s="18">
        <v>0.18953540344848516</v>
      </c>
      <c r="AO120" s="18">
        <v>0</v>
      </c>
      <c r="AP120" s="18">
        <v>0</v>
      </c>
      <c r="AQ120" s="18">
        <v>1.7671769317608381</v>
      </c>
      <c r="AR120" s="18">
        <v>9.7955595567723708E-2</v>
      </c>
      <c r="AS120" s="599">
        <v>18.040591979649211</v>
      </c>
      <c r="AT120" s="18">
        <v>1.577641528312353</v>
      </c>
      <c r="AU120" s="18">
        <v>0.22435346457585315</v>
      </c>
      <c r="AV120" s="18">
        <v>0</v>
      </c>
      <c r="AW120" s="18">
        <v>0</v>
      </c>
      <c r="AX120" s="18">
        <v>1.8019949928882062</v>
      </c>
      <c r="AY120" s="18">
        <v>0.22686991813319779</v>
      </c>
      <c r="AZ120" s="599">
        <v>7.9428555699051975</v>
      </c>
      <c r="BA120" s="18">
        <v>1.577641528312353</v>
      </c>
      <c r="BB120" s="18">
        <v>0.41388886802433833</v>
      </c>
      <c r="BC120" s="18">
        <v>0</v>
      </c>
      <c r="BD120" s="18">
        <v>0</v>
      </c>
      <c r="BE120" s="18">
        <v>1.9915303963366913</v>
      </c>
      <c r="BF120" s="18">
        <v>0.3248255137009215</v>
      </c>
      <c r="BG120" s="18">
        <v>-2.1522528767372697</v>
      </c>
      <c r="BH120" s="599">
        <v>6.1310774934088608</v>
      </c>
      <c r="BI120" s="18">
        <v>2.3671375725146619</v>
      </c>
      <c r="BJ120" s="18">
        <v>5.4824056162787462</v>
      </c>
      <c r="BK120" s="18">
        <v>0</v>
      </c>
      <c r="BL120" s="18">
        <v>6.1034315980076475</v>
      </c>
      <c r="BM120" s="18">
        <v>13.952974786801054</v>
      </c>
      <c r="BN120" s="18">
        <v>1.577641528312353</v>
      </c>
      <c r="BO120" s="18">
        <v>0</v>
      </c>
      <c r="BP120" s="18">
        <v>0.41388886802433833</v>
      </c>
      <c r="BQ120" s="18">
        <v>0</v>
      </c>
      <c r="BR120" s="18">
        <v>0</v>
      </c>
      <c r="BS120" s="18">
        <v>0</v>
      </c>
      <c r="BT120" s="18">
        <v>0</v>
      </c>
      <c r="BU120" s="18">
        <v>0</v>
      </c>
      <c r="BV120" s="18">
        <v>0</v>
      </c>
      <c r="BW120" s="18">
        <v>0</v>
      </c>
      <c r="BX120" s="18">
        <v>0.50187353333760432</v>
      </c>
      <c r="BY120" s="18">
        <v>7.5520856854334642E-2</v>
      </c>
      <c r="BZ120" s="18">
        <v>0</v>
      </c>
      <c r="CA120" s="18">
        <v>0</v>
      </c>
      <c r="CB120" s="18">
        <v>1.9915303963366913</v>
      </c>
      <c r="CC120" s="18">
        <v>0.57739439019193894</v>
      </c>
      <c r="CD120" s="599">
        <v>3.4491682464643647</v>
      </c>
      <c r="CE120" s="18">
        <v>3.9511787212703759</v>
      </c>
      <c r="CF120" s="18">
        <v>2.8927027493569818E-2</v>
      </c>
      <c r="CG120" s="18">
        <v>0</v>
      </c>
      <c r="CH120" s="18">
        <v>2.8927027493569818E-2</v>
      </c>
      <c r="CI120" s="18">
        <v>1.446336927571233E-3</v>
      </c>
      <c r="CJ120" s="18">
        <v>0</v>
      </c>
      <c r="CK120" s="18">
        <v>1.446336927571233E-3</v>
      </c>
      <c r="CL120" s="18"/>
      <c r="CM120" s="18">
        <v>0</v>
      </c>
      <c r="CN120" s="18"/>
      <c r="CO120" s="18">
        <v>0</v>
      </c>
      <c r="CP120" s="18">
        <v>0</v>
      </c>
      <c r="CQ120" s="18">
        <v>0</v>
      </c>
      <c r="CR120" s="18">
        <v>0</v>
      </c>
      <c r="CS120" s="18">
        <v>0</v>
      </c>
      <c r="CT120" s="18">
        <v>0</v>
      </c>
      <c r="CU120" s="18">
        <v>0</v>
      </c>
      <c r="CV120" s="18">
        <v>9999</v>
      </c>
      <c r="CW120" s="599">
        <v>9999</v>
      </c>
    </row>
    <row r="121" spans="1:101">
      <c r="A121" t="s">
        <v>551</v>
      </c>
      <c r="C121" s="18">
        <v>15</v>
      </c>
      <c r="D121" s="18">
        <v>0.5253004611929295</v>
      </c>
      <c r="E121" s="18">
        <v>0</v>
      </c>
      <c r="F121" s="18">
        <v>7.3963740963958288E-2</v>
      </c>
      <c r="G121" s="18">
        <v>0</v>
      </c>
      <c r="H121" s="18">
        <v>0</v>
      </c>
      <c r="I121" s="18"/>
      <c r="J121" s="18"/>
      <c r="K121" s="18"/>
      <c r="L121" s="18">
        <v>0.56446323784331998</v>
      </c>
      <c r="M121" s="18">
        <v>9.9436746959285252E-5</v>
      </c>
      <c r="N121" s="18">
        <v>9.8719057111503719E-5</v>
      </c>
      <c r="O121" s="18">
        <v>0</v>
      </c>
      <c r="P121" s="18">
        <v>0</v>
      </c>
      <c r="Q121" s="18">
        <v>0</v>
      </c>
      <c r="R121" s="18">
        <v>1.4749357993007618E-2</v>
      </c>
      <c r="S121" s="18">
        <v>3.4083522957153618E-2</v>
      </c>
      <c r="T121" s="18">
        <v>0</v>
      </c>
      <c r="U121" s="18">
        <v>4.9472264310696484E-2</v>
      </c>
      <c r="V121" s="18">
        <v>4.437824457837497E-3</v>
      </c>
      <c r="W121" s="18">
        <v>1.035492373495416E-2</v>
      </c>
      <c r="X121" s="18">
        <v>0</v>
      </c>
      <c r="Y121" s="18">
        <v>0</v>
      </c>
      <c r="Z121" s="18">
        <v>0</v>
      </c>
      <c r="AA121" s="18">
        <v>0</v>
      </c>
      <c r="AB121" s="18">
        <v>0</v>
      </c>
      <c r="AC121" s="18">
        <v>0</v>
      </c>
      <c r="AD121" s="18">
        <v>0</v>
      </c>
      <c r="AE121" s="18">
        <v>0</v>
      </c>
      <c r="AF121" s="18">
        <v>0</v>
      </c>
      <c r="AG121" s="18">
        <v>0</v>
      </c>
      <c r="AH121" s="18">
        <v>1.9187182450845115E-2</v>
      </c>
      <c r="AI121" s="18">
        <v>4.443844669210778E-2</v>
      </c>
      <c r="AJ121" s="18">
        <v>0</v>
      </c>
      <c r="AK121" s="18">
        <v>4.9472264310696484E-2</v>
      </c>
      <c r="AL121" s="18">
        <v>0.11309789345364937</v>
      </c>
      <c r="AM121" s="18">
        <v>0.29246111222042553</v>
      </c>
      <c r="AN121" s="18">
        <v>3.5135823888325146E-2</v>
      </c>
      <c r="AO121" s="18">
        <v>0</v>
      </c>
      <c r="AP121" s="18">
        <v>0</v>
      </c>
      <c r="AQ121" s="18">
        <v>0.32759693610875068</v>
      </c>
      <c r="AR121" s="18">
        <v>1.9187182450845115E-2</v>
      </c>
      <c r="AS121" s="599">
        <v>17.073738520390283</v>
      </c>
      <c r="AT121" s="18">
        <v>0.29246111222042553</v>
      </c>
      <c r="AU121" s="18">
        <v>4.1590350280997987E-2</v>
      </c>
      <c r="AV121" s="18">
        <v>0</v>
      </c>
      <c r="AW121" s="18">
        <v>0</v>
      </c>
      <c r="AX121" s="18">
        <v>0.33405146250142354</v>
      </c>
      <c r="AY121" s="18">
        <v>4.443844669210778E-2</v>
      </c>
      <c r="AZ121" s="599">
        <v>7.5171723443868865</v>
      </c>
      <c r="BA121" s="18">
        <v>0.29246111222042553</v>
      </c>
      <c r="BB121" s="18">
        <v>7.6726174169323133E-2</v>
      </c>
      <c r="BC121" s="18">
        <v>0</v>
      </c>
      <c r="BD121" s="18">
        <v>0</v>
      </c>
      <c r="BE121" s="18">
        <v>0.36918728638974868</v>
      </c>
      <c r="BF121" s="18">
        <v>6.3625629142952889E-2</v>
      </c>
      <c r="BG121" s="18">
        <v>-1.7077481201121316</v>
      </c>
      <c r="BH121" s="599">
        <v>5.802493293390711</v>
      </c>
      <c r="BI121" s="18">
        <v>2.5011840877400409</v>
      </c>
      <c r="BJ121" s="18">
        <v>5.7928638576785101</v>
      </c>
      <c r="BK121" s="18">
        <v>0</v>
      </c>
      <c r="BL121" s="18">
        <v>6.4490573639660873</v>
      </c>
      <c r="BM121" s="18">
        <v>14.743105309384639</v>
      </c>
      <c r="BN121" s="18">
        <v>0.29246111222042553</v>
      </c>
      <c r="BO121" s="18">
        <v>0</v>
      </c>
      <c r="BP121" s="18">
        <v>7.6726174169323133E-2</v>
      </c>
      <c r="BQ121" s="18">
        <v>0</v>
      </c>
      <c r="BR121" s="18">
        <v>0</v>
      </c>
      <c r="BS121" s="18">
        <v>0</v>
      </c>
      <c r="BT121" s="18">
        <v>0</v>
      </c>
      <c r="BU121" s="18">
        <v>0</v>
      </c>
      <c r="BV121" s="18">
        <v>0</v>
      </c>
      <c r="BW121" s="18">
        <v>0</v>
      </c>
      <c r="BX121" s="18">
        <v>9.8305145260857721E-2</v>
      </c>
      <c r="BY121" s="18">
        <v>1.4792748192791659E-2</v>
      </c>
      <c r="BZ121" s="18">
        <v>0</v>
      </c>
      <c r="CA121" s="18">
        <v>0</v>
      </c>
      <c r="CB121" s="18">
        <v>0.36918728638974868</v>
      </c>
      <c r="CC121" s="18">
        <v>0.11309789345364937</v>
      </c>
      <c r="CD121" s="599">
        <v>3.2643162053327881</v>
      </c>
      <c r="CE121" s="18">
        <v>4.7413092438539524</v>
      </c>
      <c r="CF121" s="18">
        <v>5.3624543232264994E-3</v>
      </c>
      <c r="CG121" s="18">
        <v>0</v>
      </c>
      <c r="CH121" s="18">
        <v>5.3624543232264994E-3</v>
      </c>
      <c r="CI121" s="18">
        <v>2.6812003797557689E-4</v>
      </c>
      <c r="CJ121" s="18">
        <v>0</v>
      </c>
      <c r="CK121" s="18">
        <v>2.6812003797557689E-4</v>
      </c>
      <c r="CL121" s="18"/>
      <c r="CM121" s="18">
        <v>0</v>
      </c>
      <c r="CN121" s="18"/>
      <c r="CO121" s="18">
        <v>0</v>
      </c>
      <c r="CP121" s="18">
        <v>0</v>
      </c>
      <c r="CQ121" s="18">
        <v>0</v>
      </c>
      <c r="CR121" s="18">
        <v>0</v>
      </c>
      <c r="CS121" s="18">
        <v>0</v>
      </c>
      <c r="CT121" s="18">
        <v>0</v>
      </c>
      <c r="CU121" s="18">
        <v>0</v>
      </c>
      <c r="CV121" s="18">
        <v>9999</v>
      </c>
      <c r="CW121" s="599">
        <v>9999</v>
      </c>
    </row>
    <row r="122" spans="1:101">
      <c r="A122" t="s">
        <v>558</v>
      </c>
      <c r="C122" s="18">
        <v>15</v>
      </c>
      <c r="D122" s="18">
        <v>0.5253004611929295</v>
      </c>
      <c r="E122" s="18">
        <v>0</v>
      </c>
      <c r="F122" s="18">
        <v>7.3963740963958288E-2</v>
      </c>
      <c r="G122" s="18">
        <v>0</v>
      </c>
      <c r="H122" s="18">
        <v>0</v>
      </c>
      <c r="I122" s="18"/>
      <c r="J122" s="18"/>
      <c r="K122" s="18"/>
      <c r="L122" s="18">
        <v>0.56446323784331998</v>
      </c>
      <c r="M122" s="18">
        <v>9.9436746959285252E-5</v>
      </c>
      <c r="N122" s="18">
        <v>9.8719057111503719E-5</v>
      </c>
      <c r="O122" s="18">
        <v>0</v>
      </c>
      <c r="P122" s="18">
        <v>0</v>
      </c>
      <c r="Q122" s="18">
        <v>0</v>
      </c>
      <c r="R122" s="18">
        <v>1.4749357993007618E-2</v>
      </c>
      <c r="S122" s="18">
        <v>3.4083522957153618E-2</v>
      </c>
      <c r="T122" s="18">
        <v>0</v>
      </c>
      <c r="U122" s="18">
        <v>4.9472264310696484E-2</v>
      </c>
      <c r="V122" s="18">
        <v>4.437824457837497E-3</v>
      </c>
      <c r="W122" s="18">
        <v>1.035492373495416E-2</v>
      </c>
      <c r="X122" s="18">
        <v>0</v>
      </c>
      <c r="Y122" s="18">
        <v>0</v>
      </c>
      <c r="Z122" s="18">
        <v>0</v>
      </c>
      <c r="AA122" s="18">
        <v>0</v>
      </c>
      <c r="AB122" s="18">
        <v>0</v>
      </c>
      <c r="AC122" s="18">
        <v>0</v>
      </c>
      <c r="AD122" s="18">
        <v>0</v>
      </c>
      <c r="AE122" s="18">
        <v>0</v>
      </c>
      <c r="AF122" s="18">
        <v>0</v>
      </c>
      <c r="AG122" s="18">
        <v>0</v>
      </c>
      <c r="AH122" s="18">
        <v>1.9187182450845115E-2</v>
      </c>
      <c r="AI122" s="18">
        <v>4.443844669210778E-2</v>
      </c>
      <c r="AJ122" s="18">
        <v>0</v>
      </c>
      <c r="AK122" s="18">
        <v>4.9472264310696484E-2</v>
      </c>
      <c r="AL122" s="18">
        <v>0.11309789345364937</v>
      </c>
      <c r="AM122" s="18">
        <v>0.29246111222042553</v>
      </c>
      <c r="AN122" s="18">
        <v>3.5135823888325146E-2</v>
      </c>
      <c r="AO122" s="18">
        <v>0</v>
      </c>
      <c r="AP122" s="18">
        <v>0</v>
      </c>
      <c r="AQ122" s="18">
        <v>0.32759693610875068</v>
      </c>
      <c r="AR122" s="18">
        <v>1.9187182450845115E-2</v>
      </c>
      <c r="AS122" s="599">
        <v>17.073738520390283</v>
      </c>
      <c r="AT122" s="18">
        <v>0.29246111222042553</v>
      </c>
      <c r="AU122" s="18">
        <v>4.1590350280997987E-2</v>
      </c>
      <c r="AV122" s="18">
        <v>0</v>
      </c>
      <c r="AW122" s="18">
        <v>0</v>
      </c>
      <c r="AX122" s="18">
        <v>0.33405146250142354</v>
      </c>
      <c r="AY122" s="18">
        <v>4.443844669210778E-2</v>
      </c>
      <c r="AZ122" s="599">
        <v>7.5171723443868865</v>
      </c>
      <c r="BA122" s="18">
        <v>0.29246111222042553</v>
      </c>
      <c r="BB122" s="18">
        <v>7.6726174169323133E-2</v>
      </c>
      <c r="BC122" s="18">
        <v>0</v>
      </c>
      <c r="BD122" s="18">
        <v>0</v>
      </c>
      <c r="BE122" s="18">
        <v>0.36918728638974868</v>
      </c>
      <c r="BF122" s="18">
        <v>6.3625629142952889E-2</v>
      </c>
      <c r="BG122" s="18">
        <v>-1.7077481201121316</v>
      </c>
      <c r="BH122" s="599">
        <v>5.802493293390711</v>
      </c>
      <c r="BI122" s="18">
        <v>2.5011840877400409</v>
      </c>
      <c r="BJ122" s="18">
        <v>5.7928638576785101</v>
      </c>
      <c r="BK122" s="18">
        <v>0</v>
      </c>
      <c r="BL122" s="18">
        <v>6.4490573639660873</v>
      </c>
      <c r="BM122" s="18">
        <v>14.743105309384639</v>
      </c>
      <c r="BN122" s="18">
        <v>0.29246111222042553</v>
      </c>
      <c r="BO122" s="18">
        <v>0</v>
      </c>
      <c r="BP122" s="18">
        <v>7.6726174169323133E-2</v>
      </c>
      <c r="BQ122" s="18">
        <v>0</v>
      </c>
      <c r="BR122" s="18">
        <v>0</v>
      </c>
      <c r="BS122" s="18">
        <v>0</v>
      </c>
      <c r="BT122" s="18">
        <v>0</v>
      </c>
      <c r="BU122" s="18">
        <v>0</v>
      </c>
      <c r="BV122" s="18">
        <v>0</v>
      </c>
      <c r="BW122" s="18">
        <v>0</v>
      </c>
      <c r="BX122" s="18">
        <v>9.8305145260857721E-2</v>
      </c>
      <c r="BY122" s="18">
        <v>1.4792748192791659E-2</v>
      </c>
      <c r="BZ122" s="18">
        <v>0</v>
      </c>
      <c r="CA122" s="18">
        <v>0</v>
      </c>
      <c r="CB122" s="18">
        <v>0.36918728638974868</v>
      </c>
      <c r="CC122" s="18">
        <v>0.11309789345364937</v>
      </c>
      <c r="CD122" s="599">
        <v>3.2643162053327881</v>
      </c>
      <c r="CE122" s="18">
        <v>4.7413092438539524</v>
      </c>
      <c r="CF122" s="18">
        <v>5.3624543232264994E-3</v>
      </c>
      <c r="CG122" s="18">
        <v>0</v>
      </c>
      <c r="CH122" s="18">
        <v>5.3624543232264994E-3</v>
      </c>
      <c r="CI122" s="18">
        <v>2.6812003797557689E-4</v>
      </c>
      <c r="CJ122" s="18">
        <v>0</v>
      </c>
      <c r="CK122" s="18">
        <v>2.6812003797557689E-4</v>
      </c>
      <c r="CL122" s="18"/>
      <c r="CM122" s="18">
        <v>0</v>
      </c>
      <c r="CN122" s="18"/>
      <c r="CO122" s="18">
        <v>0</v>
      </c>
      <c r="CP122" s="18">
        <v>0</v>
      </c>
      <c r="CQ122" s="18">
        <v>0</v>
      </c>
      <c r="CR122" s="18">
        <v>0</v>
      </c>
      <c r="CS122" s="18">
        <v>0</v>
      </c>
      <c r="CT122" s="18">
        <v>0</v>
      </c>
      <c r="CU122" s="18">
        <v>0</v>
      </c>
      <c r="CV122" s="18">
        <v>9999</v>
      </c>
      <c r="CW122" s="599">
        <v>9999</v>
      </c>
    </row>
    <row r="123" spans="1:101">
      <c r="A123" t="s">
        <v>565</v>
      </c>
      <c r="C123" s="18">
        <v>15</v>
      </c>
      <c r="D123" s="18">
        <v>0.5253004611929295</v>
      </c>
      <c r="E123" s="18">
        <v>0</v>
      </c>
      <c r="F123" s="18">
        <v>7.3963740963958288E-2</v>
      </c>
      <c r="G123" s="18">
        <v>0</v>
      </c>
      <c r="H123" s="18">
        <v>0</v>
      </c>
      <c r="I123" s="18"/>
      <c r="J123" s="18"/>
      <c r="K123" s="18"/>
      <c r="L123" s="18">
        <v>0.56446323784331998</v>
      </c>
      <c r="M123" s="18">
        <v>9.9436746959285252E-5</v>
      </c>
      <c r="N123" s="18">
        <v>9.8719057111503719E-5</v>
      </c>
      <c r="O123" s="18">
        <v>0</v>
      </c>
      <c r="P123" s="18">
        <v>0</v>
      </c>
      <c r="Q123" s="18">
        <v>0</v>
      </c>
      <c r="R123" s="18">
        <v>1.4749357993007618E-2</v>
      </c>
      <c r="S123" s="18">
        <v>3.4083522957153618E-2</v>
      </c>
      <c r="T123" s="18">
        <v>0</v>
      </c>
      <c r="U123" s="18">
        <v>4.9472264310696484E-2</v>
      </c>
      <c r="V123" s="18">
        <v>4.437824457837497E-3</v>
      </c>
      <c r="W123" s="18">
        <v>1.035492373495416E-2</v>
      </c>
      <c r="X123" s="18">
        <v>0</v>
      </c>
      <c r="Y123" s="18">
        <v>0</v>
      </c>
      <c r="Z123" s="18">
        <v>0</v>
      </c>
      <c r="AA123" s="18">
        <v>0</v>
      </c>
      <c r="AB123" s="18">
        <v>0</v>
      </c>
      <c r="AC123" s="18">
        <v>0</v>
      </c>
      <c r="AD123" s="18">
        <v>0</v>
      </c>
      <c r="AE123" s="18">
        <v>0</v>
      </c>
      <c r="AF123" s="18">
        <v>0</v>
      </c>
      <c r="AG123" s="18">
        <v>0</v>
      </c>
      <c r="AH123" s="18">
        <v>1.9187182450845115E-2</v>
      </c>
      <c r="AI123" s="18">
        <v>4.443844669210778E-2</v>
      </c>
      <c r="AJ123" s="18">
        <v>0</v>
      </c>
      <c r="AK123" s="18">
        <v>4.9472264310696484E-2</v>
      </c>
      <c r="AL123" s="18">
        <v>0.11309789345364937</v>
      </c>
      <c r="AM123" s="18">
        <v>0.29246111222042553</v>
      </c>
      <c r="AN123" s="18">
        <v>3.5135823888325146E-2</v>
      </c>
      <c r="AO123" s="18">
        <v>0</v>
      </c>
      <c r="AP123" s="18">
        <v>0</v>
      </c>
      <c r="AQ123" s="18">
        <v>0.32759693610875068</v>
      </c>
      <c r="AR123" s="18">
        <v>1.9187182450845115E-2</v>
      </c>
      <c r="AS123" s="599">
        <v>17.073738520390283</v>
      </c>
      <c r="AT123" s="18">
        <v>0.29246111222042553</v>
      </c>
      <c r="AU123" s="18">
        <v>4.1590350280997987E-2</v>
      </c>
      <c r="AV123" s="18">
        <v>0</v>
      </c>
      <c r="AW123" s="18">
        <v>0</v>
      </c>
      <c r="AX123" s="18">
        <v>0.33405146250142354</v>
      </c>
      <c r="AY123" s="18">
        <v>4.443844669210778E-2</v>
      </c>
      <c r="AZ123" s="599">
        <v>7.5171723443868865</v>
      </c>
      <c r="BA123" s="18">
        <v>0.29246111222042553</v>
      </c>
      <c r="BB123" s="18">
        <v>7.6726174169323133E-2</v>
      </c>
      <c r="BC123" s="18">
        <v>0</v>
      </c>
      <c r="BD123" s="18">
        <v>0</v>
      </c>
      <c r="BE123" s="18">
        <v>0.36918728638974868</v>
      </c>
      <c r="BF123" s="18">
        <v>6.3625629142952889E-2</v>
      </c>
      <c r="BG123" s="18">
        <v>-1.7077481201121316</v>
      </c>
      <c r="BH123" s="599">
        <v>5.802493293390711</v>
      </c>
      <c r="BI123" s="18">
        <v>2.5011840877400409</v>
      </c>
      <c r="BJ123" s="18">
        <v>5.7928638576785101</v>
      </c>
      <c r="BK123" s="18">
        <v>0</v>
      </c>
      <c r="BL123" s="18">
        <v>6.4490573639660873</v>
      </c>
      <c r="BM123" s="18">
        <v>14.743105309384639</v>
      </c>
      <c r="BN123" s="18">
        <v>0.29246111222042553</v>
      </c>
      <c r="BO123" s="18">
        <v>0</v>
      </c>
      <c r="BP123" s="18">
        <v>7.6726174169323133E-2</v>
      </c>
      <c r="BQ123" s="18">
        <v>0</v>
      </c>
      <c r="BR123" s="18">
        <v>0</v>
      </c>
      <c r="BS123" s="18">
        <v>0</v>
      </c>
      <c r="BT123" s="18">
        <v>0</v>
      </c>
      <c r="BU123" s="18">
        <v>0</v>
      </c>
      <c r="BV123" s="18">
        <v>0</v>
      </c>
      <c r="BW123" s="18">
        <v>0</v>
      </c>
      <c r="BX123" s="18">
        <v>9.8305145260857721E-2</v>
      </c>
      <c r="BY123" s="18">
        <v>1.4792748192791659E-2</v>
      </c>
      <c r="BZ123" s="18">
        <v>0</v>
      </c>
      <c r="CA123" s="18">
        <v>0</v>
      </c>
      <c r="CB123" s="18">
        <v>0.36918728638974868</v>
      </c>
      <c r="CC123" s="18">
        <v>0.11309789345364937</v>
      </c>
      <c r="CD123" s="599">
        <v>3.2643162053327881</v>
      </c>
      <c r="CE123" s="18">
        <v>4.7413092438539524</v>
      </c>
      <c r="CF123" s="18">
        <v>5.3624543232264994E-3</v>
      </c>
      <c r="CG123" s="18">
        <v>0</v>
      </c>
      <c r="CH123" s="18">
        <v>5.3624543232264994E-3</v>
      </c>
      <c r="CI123" s="18">
        <v>2.6812003797557689E-4</v>
      </c>
      <c r="CJ123" s="18">
        <v>0</v>
      </c>
      <c r="CK123" s="18">
        <v>2.6812003797557689E-4</v>
      </c>
      <c r="CL123" s="18"/>
      <c r="CM123" s="18">
        <v>0</v>
      </c>
      <c r="CN123" s="18"/>
      <c r="CO123" s="18">
        <v>0</v>
      </c>
      <c r="CP123" s="18">
        <v>0</v>
      </c>
      <c r="CQ123" s="18">
        <v>0</v>
      </c>
      <c r="CR123" s="18">
        <v>0</v>
      </c>
      <c r="CS123" s="18">
        <v>0</v>
      </c>
      <c r="CT123" s="18">
        <v>0</v>
      </c>
      <c r="CU123" s="18">
        <v>0</v>
      </c>
      <c r="CV123" s="18">
        <v>9999</v>
      </c>
      <c r="CW123" s="599">
        <v>9999</v>
      </c>
    </row>
    <row r="124" spans="1:101">
      <c r="A124" t="s">
        <v>572</v>
      </c>
      <c r="C124" s="18">
        <v>15</v>
      </c>
      <c r="D124" s="18">
        <v>0.5253004611929295</v>
      </c>
      <c r="E124" s="18">
        <v>0</v>
      </c>
      <c r="F124" s="18">
        <v>7.3963740963958288E-2</v>
      </c>
      <c r="G124" s="18">
        <v>0</v>
      </c>
      <c r="H124" s="18">
        <v>0</v>
      </c>
      <c r="I124" s="18"/>
      <c r="J124" s="18"/>
      <c r="K124" s="18"/>
      <c r="L124" s="18">
        <v>0.56446323784331998</v>
      </c>
      <c r="M124" s="18">
        <v>9.9436746959285252E-5</v>
      </c>
      <c r="N124" s="18">
        <v>9.8719057111503719E-5</v>
      </c>
      <c r="O124" s="18">
        <v>0</v>
      </c>
      <c r="P124" s="18">
        <v>0</v>
      </c>
      <c r="Q124" s="18">
        <v>0</v>
      </c>
      <c r="R124" s="18">
        <v>1.4749357993007618E-2</v>
      </c>
      <c r="S124" s="18">
        <v>3.4083522957153618E-2</v>
      </c>
      <c r="T124" s="18">
        <v>0</v>
      </c>
      <c r="U124" s="18">
        <v>4.9472264310696484E-2</v>
      </c>
      <c r="V124" s="18">
        <v>4.437824457837497E-3</v>
      </c>
      <c r="W124" s="18">
        <v>1.035492373495416E-2</v>
      </c>
      <c r="X124" s="18">
        <v>0</v>
      </c>
      <c r="Y124" s="18">
        <v>0</v>
      </c>
      <c r="Z124" s="18">
        <v>0</v>
      </c>
      <c r="AA124" s="18">
        <v>0</v>
      </c>
      <c r="AB124" s="18">
        <v>0</v>
      </c>
      <c r="AC124" s="18">
        <v>0</v>
      </c>
      <c r="AD124" s="18">
        <v>0</v>
      </c>
      <c r="AE124" s="18">
        <v>0</v>
      </c>
      <c r="AF124" s="18">
        <v>0</v>
      </c>
      <c r="AG124" s="18">
        <v>0</v>
      </c>
      <c r="AH124" s="18">
        <v>1.9187182450845115E-2</v>
      </c>
      <c r="AI124" s="18">
        <v>4.443844669210778E-2</v>
      </c>
      <c r="AJ124" s="18">
        <v>0</v>
      </c>
      <c r="AK124" s="18">
        <v>4.9472264310696484E-2</v>
      </c>
      <c r="AL124" s="18">
        <v>0.11309789345364937</v>
      </c>
      <c r="AM124" s="18">
        <v>0.29246111222042553</v>
      </c>
      <c r="AN124" s="18">
        <v>3.5135823888325146E-2</v>
      </c>
      <c r="AO124" s="18">
        <v>0</v>
      </c>
      <c r="AP124" s="18">
        <v>0</v>
      </c>
      <c r="AQ124" s="18">
        <v>0.32759693610875068</v>
      </c>
      <c r="AR124" s="18">
        <v>1.9187182450845115E-2</v>
      </c>
      <c r="AS124" s="599">
        <v>17.073738520390283</v>
      </c>
      <c r="AT124" s="18">
        <v>0.29246111222042553</v>
      </c>
      <c r="AU124" s="18">
        <v>4.1590350280997987E-2</v>
      </c>
      <c r="AV124" s="18">
        <v>0</v>
      </c>
      <c r="AW124" s="18">
        <v>0</v>
      </c>
      <c r="AX124" s="18">
        <v>0.33405146250142354</v>
      </c>
      <c r="AY124" s="18">
        <v>4.443844669210778E-2</v>
      </c>
      <c r="AZ124" s="599">
        <v>7.5171723443868865</v>
      </c>
      <c r="BA124" s="18">
        <v>0.29246111222042553</v>
      </c>
      <c r="BB124" s="18">
        <v>7.6726174169323133E-2</v>
      </c>
      <c r="BC124" s="18">
        <v>0</v>
      </c>
      <c r="BD124" s="18">
        <v>0</v>
      </c>
      <c r="BE124" s="18">
        <v>0.36918728638974868</v>
      </c>
      <c r="BF124" s="18">
        <v>6.3625629142952889E-2</v>
      </c>
      <c r="BG124" s="18">
        <v>-1.7077481201121316</v>
      </c>
      <c r="BH124" s="599">
        <v>5.802493293390711</v>
      </c>
      <c r="BI124" s="18">
        <v>2.5011840877400409</v>
      </c>
      <c r="BJ124" s="18">
        <v>5.7928638576785101</v>
      </c>
      <c r="BK124" s="18">
        <v>0</v>
      </c>
      <c r="BL124" s="18">
        <v>6.4490573639660873</v>
      </c>
      <c r="BM124" s="18">
        <v>14.743105309384639</v>
      </c>
      <c r="BN124" s="18">
        <v>0.29246111222042553</v>
      </c>
      <c r="BO124" s="18">
        <v>0</v>
      </c>
      <c r="BP124" s="18">
        <v>7.6726174169323133E-2</v>
      </c>
      <c r="BQ124" s="18">
        <v>0</v>
      </c>
      <c r="BR124" s="18">
        <v>0</v>
      </c>
      <c r="BS124" s="18">
        <v>0</v>
      </c>
      <c r="BT124" s="18">
        <v>0</v>
      </c>
      <c r="BU124" s="18">
        <v>0</v>
      </c>
      <c r="BV124" s="18">
        <v>0</v>
      </c>
      <c r="BW124" s="18">
        <v>0</v>
      </c>
      <c r="BX124" s="18">
        <v>9.8305145260857721E-2</v>
      </c>
      <c r="BY124" s="18">
        <v>1.4792748192791659E-2</v>
      </c>
      <c r="BZ124" s="18">
        <v>0</v>
      </c>
      <c r="CA124" s="18">
        <v>0</v>
      </c>
      <c r="CB124" s="18">
        <v>0.36918728638974868</v>
      </c>
      <c r="CC124" s="18">
        <v>0.11309789345364937</v>
      </c>
      <c r="CD124" s="599">
        <v>3.2643162053327881</v>
      </c>
      <c r="CE124" s="18">
        <v>4.7413092438539524</v>
      </c>
      <c r="CF124" s="18">
        <v>5.3624543232264994E-3</v>
      </c>
      <c r="CG124" s="18">
        <v>0</v>
      </c>
      <c r="CH124" s="18">
        <v>5.3624543232264994E-3</v>
      </c>
      <c r="CI124" s="18">
        <v>2.6812003797557689E-4</v>
      </c>
      <c r="CJ124" s="18">
        <v>0</v>
      </c>
      <c r="CK124" s="18">
        <v>2.6812003797557689E-4</v>
      </c>
      <c r="CL124" s="18"/>
      <c r="CM124" s="18">
        <v>0</v>
      </c>
      <c r="CN124" s="18"/>
      <c r="CO124" s="18">
        <v>0</v>
      </c>
      <c r="CP124" s="18">
        <v>0</v>
      </c>
      <c r="CQ124" s="18">
        <v>0</v>
      </c>
      <c r="CR124" s="18">
        <v>0</v>
      </c>
      <c r="CS124" s="18">
        <v>0</v>
      </c>
      <c r="CT124" s="18">
        <v>0</v>
      </c>
      <c r="CU124" s="18">
        <v>0</v>
      </c>
      <c r="CV124" s="18">
        <v>9999</v>
      </c>
      <c r="CW124" s="599">
        <v>9999</v>
      </c>
    </row>
    <row r="125" spans="1:101">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row>
    <row r="126" spans="1:101">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row>
    <row r="127" spans="1:101" ht="13.5" thickBot="1">
      <c r="A127" s="588" t="s">
        <v>775</v>
      </c>
      <c r="B127" s="589"/>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row>
    <row r="128" spans="1:101" ht="13.5" thickBot="1">
      <c r="A128" s="619" t="s">
        <v>776</v>
      </c>
      <c r="B128" s="620"/>
      <c r="C128" s="621"/>
      <c r="D128" s="621"/>
      <c r="E128" s="621"/>
      <c r="F128" s="621"/>
      <c r="G128" s="621"/>
      <c r="H128" s="621"/>
      <c r="I128" s="621"/>
      <c r="J128" s="621"/>
      <c r="K128" s="621"/>
      <c r="L128" s="595"/>
      <c r="M128" s="622"/>
      <c r="N128" s="623" t="s">
        <v>777</v>
      </c>
      <c r="O128" s="621"/>
      <c r="P128" s="621"/>
      <c r="Q128" s="621"/>
      <c r="R128" s="621"/>
      <c r="S128" s="621"/>
      <c r="T128" s="621"/>
      <c r="U128" s="621"/>
      <c r="V128" s="621"/>
      <c r="W128" s="621"/>
      <c r="X128" s="621"/>
      <c r="Y128" s="595"/>
      <c r="Z128" s="622"/>
      <c r="AA128" s="623" t="s">
        <v>778</v>
      </c>
      <c r="AB128" s="621"/>
      <c r="AC128" s="621"/>
      <c r="AD128" s="621"/>
      <c r="AE128" s="621"/>
      <c r="AF128" s="621"/>
      <c r="AG128" s="621"/>
      <c r="AH128" s="621"/>
      <c r="AI128" s="621"/>
      <c r="AJ128" s="621"/>
      <c r="AK128" s="621"/>
      <c r="AL128" s="595"/>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row>
    <row r="129" spans="1:101" ht="204">
      <c r="A129" s="596"/>
      <c r="B129" s="597" t="s">
        <v>779</v>
      </c>
      <c r="C129" s="598" t="s">
        <v>780</v>
      </c>
      <c r="D129" s="598" t="s">
        <v>583</v>
      </c>
      <c r="E129" s="598" t="s">
        <v>584</v>
      </c>
      <c r="F129" s="598" t="s">
        <v>585</v>
      </c>
      <c r="G129" s="598" t="s">
        <v>586</v>
      </c>
      <c r="H129" s="598" t="s">
        <v>587</v>
      </c>
      <c r="I129" s="598" t="s">
        <v>588</v>
      </c>
      <c r="J129" s="598" t="s">
        <v>589</v>
      </c>
      <c r="K129" s="598" t="s">
        <v>384</v>
      </c>
      <c r="L129" s="598" t="s">
        <v>590</v>
      </c>
      <c r="M129" s="598" t="s">
        <v>591</v>
      </c>
      <c r="N129" s="598" t="s">
        <v>593</v>
      </c>
      <c r="O129" s="598" t="s">
        <v>594</v>
      </c>
      <c r="P129" s="598" t="s">
        <v>595</v>
      </c>
      <c r="Q129" s="598" t="s">
        <v>596</v>
      </c>
      <c r="R129" s="598" t="s">
        <v>597</v>
      </c>
      <c r="S129" s="598" t="s">
        <v>598</v>
      </c>
      <c r="T129" s="598" t="s">
        <v>599</v>
      </c>
      <c r="U129" s="598" t="s">
        <v>600</v>
      </c>
      <c r="V129" s="598" t="s">
        <v>601</v>
      </c>
      <c r="W129" s="598" t="s">
        <v>602</v>
      </c>
      <c r="X129" s="598" t="s">
        <v>603</v>
      </c>
      <c r="Y129" s="598" t="s">
        <v>604</v>
      </c>
      <c r="Z129" s="598"/>
      <c r="AA129" s="598" t="s">
        <v>593</v>
      </c>
      <c r="AB129" s="598" t="s">
        <v>594</v>
      </c>
      <c r="AC129" s="598" t="s">
        <v>595</v>
      </c>
      <c r="AD129" s="598" t="s">
        <v>596</v>
      </c>
      <c r="AE129" s="598" t="s">
        <v>597</v>
      </c>
      <c r="AF129" s="598" t="s">
        <v>598</v>
      </c>
      <c r="AG129" s="598" t="s">
        <v>599</v>
      </c>
      <c r="AH129" s="598" t="s">
        <v>600</v>
      </c>
      <c r="AI129" s="598" t="s">
        <v>601</v>
      </c>
      <c r="AJ129" s="598" t="s">
        <v>602</v>
      </c>
      <c r="AK129" s="598" t="s">
        <v>603</v>
      </c>
      <c r="AL129" s="598" t="s">
        <v>604</v>
      </c>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row>
    <row r="130" spans="1:101">
      <c r="B130" s="525" t="s">
        <v>781</v>
      </c>
      <c r="C130" s="624">
        <v>121.40802202109762</v>
      </c>
      <c r="D130" s="624">
        <v>14.301577354763911</v>
      </c>
      <c r="E130" s="624">
        <v>0</v>
      </c>
      <c r="F130" s="624">
        <v>14.301577354763911</v>
      </c>
      <c r="G130" s="624">
        <v>19.008214308745533</v>
      </c>
      <c r="H130" s="624">
        <v>92.795504533832244</v>
      </c>
      <c r="I130" s="624">
        <v>1031.9072458487221</v>
      </c>
      <c r="J130" s="624">
        <v>-12.595781519890886</v>
      </c>
      <c r="K130" s="624">
        <v>-6.7981636160792833</v>
      </c>
      <c r="L130" s="599">
        <v>4.906558325508569</v>
      </c>
      <c r="M130" s="18">
        <v>1.1533889881159745</v>
      </c>
      <c r="N130" s="538">
        <v>6.9238743203170667</v>
      </c>
      <c r="O130" s="538">
        <v>6.3181655213936239</v>
      </c>
      <c r="P130" s="538">
        <v>7.3569734729247136</v>
      </c>
      <c r="Q130" s="538">
        <v>6.7856726768071169</v>
      </c>
      <c r="R130" s="538">
        <v>7.0419892204588788</v>
      </c>
      <c r="S130" s="538">
        <v>7.0255013953568399</v>
      </c>
      <c r="T130" s="538">
        <v>6.7752021758576086</v>
      </c>
      <c r="U130" s="538">
        <v>7.2923092995922421</v>
      </c>
      <c r="V130" s="538">
        <v>6.4963065226363073</v>
      </c>
      <c r="W130" s="538">
        <v>7.3081249293177981</v>
      </c>
      <c r="X130" s="538">
        <v>6.5498490417332338</v>
      </c>
      <c r="Y130" s="538">
        <v>6.8922020224554963</v>
      </c>
      <c r="Z130" s="538"/>
      <c r="AA130" s="538">
        <v>3.5378576834619677</v>
      </c>
      <c r="AB130" s="538">
        <v>3.0716984351992807</v>
      </c>
      <c r="AC130" s="538">
        <v>2.9807956842228163</v>
      </c>
      <c r="AD130" s="538">
        <v>3.1579845956811772</v>
      </c>
      <c r="AE130" s="538">
        <v>3.2150060308719213</v>
      </c>
      <c r="AF130" s="538">
        <v>2.8931893143684202</v>
      </c>
      <c r="AG130" s="538">
        <v>3.4791662981302407</v>
      </c>
      <c r="AH130" s="538">
        <v>2.9576915355325495</v>
      </c>
      <c r="AI130" s="538">
        <v>3.4131687062029719</v>
      </c>
      <c r="AJ130" s="538">
        <v>2.9577606352676904</v>
      </c>
      <c r="AK130" s="538">
        <v>3.4527944699071664</v>
      </c>
      <c r="AL130" s="538">
        <v>3.5247380334004457</v>
      </c>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row>
    <row r="131" spans="1:101">
      <c r="B131" s="525" t="s">
        <v>782</v>
      </c>
      <c r="C131" s="624">
        <v>121.40802202109762</v>
      </c>
      <c r="D131" s="624">
        <v>14.301577354763911</v>
      </c>
      <c r="E131" s="624">
        <v>2.8603154709527816</v>
      </c>
      <c r="F131" s="624">
        <v>17.161892825716691</v>
      </c>
      <c r="G131" s="624">
        <v>21.86852977969831</v>
      </c>
      <c r="H131" s="624">
        <v>92.795504533832244</v>
      </c>
      <c r="I131" s="624">
        <v>1238.2886950184666</v>
      </c>
      <c r="J131" s="624">
        <v>-10.862230348056553</v>
      </c>
      <c r="K131" s="624">
        <v>-5.0646124442449532</v>
      </c>
      <c r="L131" s="599">
        <v>4.2648002910652503</v>
      </c>
      <c r="M131" s="18">
        <v>1.1533889881159745</v>
      </c>
      <c r="N131" s="538">
        <v>0.41793209510537499</v>
      </c>
      <c r="O131" s="538">
        <v>0.38024812990045043</v>
      </c>
      <c r="P131" s="538">
        <v>0.44275114216274408</v>
      </c>
      <c r="Q131" s="538">
        <v>0.40956485434129353</v>
      </c>
      <c r="R131" s="538">
        <v>0.42284575487083753</v>
      </c>
      <c r="S131" s="538">
        <v>0.41866441106191127</v>
      </c>
      <c r="T131" s="538">
        <v>0.40180989866999534</v>
      </c>
      <c r="U131" s="538">
        <v>0.43209514038914726</v>
      </c>
      <c r="V131" s="538">
        <v>0.38937353202135583</v>
      </c>
      <c r="W131" s="538">
        <v>0.43936754187912996</v>
      </c>
      <c r="X131" s="538">
        <v>0.39324366602274052</v>
      </c>
      <c r="Y131" s="538">
        <v>0.41476888530799111</v>
      </c>
      <c r="Z131" s="538"/>
      <c r="AA131" s="538">
        <v>0.20436541921382478</v>
      </c>
      <c r="AB131" s="538">
        <v>0.17741476870665029</v>
      </c>
      <c r="AC131" s="538">
        <v>0.17276985422912422</v>
      </c>
      <c r="AD131" s="538">
        <v>0.18184333221348775</v>
      </c>
      <c r="AE131" s="538">
        <v>0.18459987545172615</v>
      </c>
      <c r="AF131" s="538">
        <v>0.16687515488269111</v>
      </c>
      <c r="AG131" s="538">
        <v>0.19910980795042976</v>
      </c>
      <c r="AH131" s="538">
        <v>0.16990436965403161</v>
      </c>
      <c r="AI131" s="538">
        <v>0.19672968582007294</v>
      </c>
      <c r="AJ131" s="538">
        <v>0.17057066993362108</v>
      </c>
      <c r="AK131" s="538">
        <v>0.19917086904367104</v>
      </c>
      <c r="AL131" s="538">
        <v>0.20364913671966703</v>
      </c>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row>
    <row r="132" spans="1:101">
      <c r="B132" s="525" t="s">
        <v>783</v>
      </c>
      <c r="C132" s="625"/>
      <c r="D132" s="625"/>
      <c r="E132" s="625"/>
      <c r="F132" s="625"/>
      <c r="G132" s="625"/>
      <c r="H132" s="625"/>
      <c r="I132" s="625"/>
      <c r="J132" s="625"/>
      <c r="K132" s="625"/>
      <c r="L132" s="618"/>
      <c r="M132" s="626"/>
      <c r="N132" s="626"/>
      <c r="O132" s="626"/>
      <c r="P132" s="626"/>
      <c r="Q132" s="626"/>
      <c r="R132" s="626"/>
      <c r="S132" s="626"/>
      <c r="T132" s="626"/>
      <c r="U132" s="626"/>
      <c r="V132" s="626"/>
      <c r="W132" s="626"/>
      <c r="X132" s="626"/>
      <c r="Y132" s="626"/>
      <c r="Z132" s="626"/>
      <c r="AA132" s="626"/>
      <c r="AB132" s="626"/>
      <c r="AC132" s="626"/>
      <c r="AD132" s="626"/>
      <c r="AE132" s="626"/>
      <c r="AF132" s="626"/>
      <c r="AG132" s="626"/>
      <c r="AH132" s="626"/>
      <c r="AI132" s="626"/>
      <c r="AJ132" s="626"/>
      <c r="AK132" s="626"/>
      <c r="AL132" s="626"/>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row>
    <row r="133" spans="1:101">
      <c r="B133" t="s">
        <v>390</v>
      </c>
      <c r="C133" s="18">
        <v>106.97048967965081</v>
      </c>
      <c r="D133" s="18">
        <v>12.495305253821385</v>
      </c>
      <c r="E133" s="18">
        <v>2.4990610507642765</v>
      </c>
      <c r="F133" s="18">
        <v>14.994366304585661</v>
      </c>
      <c r="G133" s="18">
        <v>19.106560645115962</v>
      </c>
      <c r="H133" s="18">
        <v>83.352633802926491</v>
      </c>
      <c r="I133" s="18">
        <v>1227.9148129688094</v>
      </c>
      <c r="J133" s="18">
        <v>-12.047175917546678</v>
      </c>
      <c r="K133" s="18">
        <v>-6.2981281125699189</v>
      </c>
      <c r="L133" s="599">
        <v>4.3787857723488939</v>
      </c>
      <c r="M133" s="18">
        <v>1.0162310608487894</v>
      </c>
      <c r="N133" s="538">
        <v>6.0545767268289392</v>
      </c>
      <c r="O133" s="538">
        <v>5.5314368993057537</v>
      </c>
      <c r="P133" s="538">
        <v>6.4409863290881049</v>
      </c>
      <c r="Q133" s="538">
        <v>5.9338730661579362</v>
      </c>
      <c r="R133" s="538">
        <v>6.1707335062684532</v>
      </c>
      <c r="S133" s="538">
        <v>6.1748228742078108</v>
      </c>
      <c r="T133" s="538">
        <v>5.9660919925355147</v>
      </c>
      <c r="U133" s="538">
        <v>6.4236656229965465</v>
      </c>
      <c r="V133" s="538">
        <v>5.6966650210897187</v>
      </c>
      <c r="W133" s="538">
        <v>6.4007978335951092</v>
      </c>
      <c r="X133" s="538">
        <v>5.7397778345868558</v>
      </c>
      <c r="Y133" s="538">
        <v>6.03415009955624</v>
      </c>
      <c r="Z133" s="538"/>
      <c r="AA133" s="538">
        <v>3.1470195935810854</v>
      </c>
      <c r="AB133" s="538">
        <v>2.7324909574296701</v>
      </c>
      <c r="AC133" s="538">
        <v>2.6481098186208794</v>
      </c>
      <c r="AD133" s="538">
        <v>2.8124731772911571</v>
      </c>
      <c r="AE133" s="538">
        <v>2.8663163769881517</v>
      </c>
      <c r="AF133" s="538">
        <v>2.5750265552893197</v>
      </c>
      <c r="AG133" s="538">
        <v>3.1056468580238783</v>
      </c>
      <c r="AH133" s="538">
        <v>2.636450356376181</v>
      </c>
      <c r="AI133" s="538">
        <v>3.0386207625804547</v>
      </c>
      <c r="AJ133" s="538">
        <v>2.6326646889779846</v>
      </c>
      <c r="AK133" s="538">
        <v>3.0729849296762648</v>
      </c>
      <c r="AL133" s="538">
        <v>3.1351077985987454</v>
      </c>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row>
    <row r="134" spans="1:101">
      <c r="B134" t="s">
        <v>393</v>
      </c>
      <c r="C134" s="18">
        <v>14.437532341446824</v>
      </c>
      <c r="D134" s="18">
        <v>1.8062721009425258</v>
      </c>
      <c r="E134" s="18">
        <v>0.36125442018850518</v>
      </c>
      <c r="F134" s="18">
        <v>2.1675265211310308</v>
      </c>
      <c r="G134" s="18">
        <v>2.7619691345823538</v>
      </c>
      <c r="H134" s="18">
        <v>9.44287073090576</v>
      </c>
      <c r="I134" s="18">
        <v>1315.1508080504177</v>
      </c>
      <c r="J134" s="18">
        <v>-2.0827377855908171</v>
      </c>
      <c r="K134" s="18">
        <v>4.0747454423826808</v>
      </c>
      <c r="L134" s="599">
        <v>3.4202596548321136</v>
      </c>
      <c r="M134" s="18">
        <v>0.13715792726718529</v>
      </c>
      <c r="N134" s="538">
        <v>0.86929759348812785</v>
      </c>
      <c r="O134" s="538">
        <v>0.78672862208787064</v>
      </c>
      <c r="P134" s="538">
        <v>0.9159871438366074</v>
      </c>
      <c r="Q134" s="538">
        <v>0.85179961064918153</v>
      </c>
      <c r="R134" s="538">
        <v>0.87125571419042602</v>
      </c>
      <c r="S134" s="538">
        <v>0.85067852114902864</v>
      </c>
      <c r="T134" s="538">
        <v>0.8091101833220955</v>
      </c>
      <c r="U134" s="538">
        <v>0.86864367659569708</v>
      </c>
      <c r="V134" s="538">
        <v>0.7996415015465882</v>
      </c>
      <c r="W134" s="538">
        <v>0.9073270957226891</v>
      </c>
      <c r="X134" s="538">
        <v>0.81007120714637748</v>
      </c>
      <c r="Y134" s="538">
        <v>0.85805192289925714</v>
      </c>
      <c r="Z134" s="538"/>
      <c r="AA134" s="538">
        <v>0.39083808988088248</v>
      </c>
      <c r="AB134" s="538">
        <v>0.33920747776961097</v>
      </c>
      <c r="AC134" s="538">
        <v>0.33268586560193647</v>
      </c>
      <c r="AD134" s="538">
        <v>0.34551141839002025</v>
      </c>
      <c r="AE134" s="538">
        <v>0.34868965388376888</v>
      </c>
      <c r="AF134" s="538">
        <v>0.31816275907910008</v>
      </c>
      <c r="AG134" s="538">
        <v>0.37351944010636312</v>
      </c>
      <c r="AH134" s="538">
        <v>0.32124117915636774</v>
      </c>
      <c r="AI134" s="538">
        <v>0.37454794362251748</v>
      </c>
      <c r="AJ134" s="538">
        <v>0.32509594628970617</v>
      </c>
      <c r="AK134" s="538">
        <v>0.37980954023090152</v>
      </c>
      <c r="AL134" s="538">
        <v>0.38963023480170011</v>
      </c>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row>
    <row r="135" spans="1:101">
      <c r="B135" t="s">
        <v>396</v>
      </c>
      <c r="C135" s="626">
        <v>0</v>
      </c>
      <c r="D135" s="626">
        <v>0</v>
      </c>
      <c r="E135" s="626">
        <v>0</v>
      </c>
      <c r="F135" s="626">
        <v>0</v>
      </c>
      <c r="G135" s="626">
        <v>0</v>
      </c>
      <c r="H135" s="626">
        <v>0</v>
      </c>
      <c r="I135" s="626">
        <v>0</v>
      </c>
      <c r="J135" s="626">
        <v>0</v>
      </c>
      <c r="K135" s="626">
        <v>0</v>
      </c>
      <c r="L135" s="627">
        <v>0</v>
      </c>
      <c r="M135" s="626">
        <v>0</v>
      </c>
      <c r="N135" s="626">
        <v>0</v>
      </c>
      <c r="O135" s="626">
        <v>0</v>
      </c>
      <c r="P135" s="626">
        <v>0</v>
      </c>
      <c r="Q135" s="626">
        <v>0</v>
      </c>
      <c r="R135" s="626">
        <v>0</v>
      </c>
      <c r="S135" s="626">
        <v>0</v>
      </c>
      <c r="T135" s="626">
        <v>0</v>
      </c>
      <c r="U135" s="626">
        <v>0</v>
      </c>
      <c r="V135" s="626">
        <v>0</v>
      </c>
      <c r="W135" s="626">
        <v>0</v>
      </c>
      <c r="X135" s="626">
        <v>0</v>
      </c>
      <c r="Y135" s="626">
        <v>0</v>
      </c>
      <c r="Z135" s="626"/>
      <c r="AA135" s="626">
        <v>0</v>
      </c>
      <c r="AB135" s="626">
        <v>0</v>
      </c>
      <c r="AC135" s="626">
        <v>0</v>
      </c>
      <c r="AD135" s="626">
        <v>0</v>
      </c>
      <c r="AE135" s="626">
        <v>0</v>
      </c>
      <c r="AF135" s="626">
        <v>0</v>
      </c>
      <c r="AG135" s="626">
        <v>0</v>
      </c>
      <c r="AH135" s="626">
        <v>0</v>
      </c>
      <c r="AI135" s="626">
        <v>0</v>
      </c>
      <c r="AJ135" s="626">
        <v>0</v>
      </c>
      <c r="AK135" s="626">
        <v>0</v>
      </c>
      <c r="AL135" s="626">
        <v>0</v>
      </c>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row>
    <row r="136" spans="1:101">
      <c r="B136" t="s">
        <v>399</v>
      </c>
      <c r="C136" s="626">
        <v>0</v>
      </c>
      <c r="D136" s="626">
        <v>0</v>
      </c>
      <c r="E136" s="626">
        <v>0</v>
      </c>
      <c r="F136" s="626">
        <v>0</v>
      </c>
      <c r="G136" s="626">
        <v>0</v>
      </c>
      <c r="H136" s="626">
        <v>0</v>
      </c>
      <c r="I136" s="626">
        <v>0</v>
      </c>
      <c r="J136" s="626">
        <v>0</v>
      </c>
      <c r="K136" s="626">
        <v>0</v>
      </c>
      <c r="L136" s="627">
        <v>0</v>
      </c>
      <c r="M136" s="626">
        <v>0</v>
      </c>
      <c r="N136" s="626">
        <v>0</v>
      </c>
      <c r="O136" s="626">
        <v>0</v>
      </c>
      <c r="P136" s="626">
        <v>0</v>
      </c>
      <c r="Q136" s="626">
        <v>0</v>
      </c>
      <c r="R136" s="626">
        <v>0</v>
      </c>
      <c r="S136" s="626">
        <v>0</v>
      </c>
      <c r="T136" s="626">
        <v>0</v>
      </c>
      <c r="U136" s="626">
        <v>0</v>
      </c>
      <c r="V136" s="626">
        <v>0</v>
      </c>
      <c r="W136" s="626">
        <v>0</v>
      </c>
      <c r="X136" s="626">
        <v>0</v>
      </c>
      <c r="Y136" s="626">
        <v>0</v>
      </c>
      <c r="Z136" s="626"/>
      <c r="AA136" s="626">
        <v>0</v>
      </c>
      <c r="AB136" s="626">
        <v>0</v>
      </c>
      <c r="AC136" s="626">
        <v>0</v>
      </c>
      <c r="AD136" s="626">
        <v>0</v>
      </c>
      <c r="AE136" s="626">
        <v>0</v>
      </c>
      <c r="AF136" s="626">
        <v>0</v>
      </c>
      <c r="AG136" s="626">
        <v>0</v>
      </c>
      <c r="AH136" s="626">
        <v>0</v>
      </c>
      <c r="AI136" s="626">
        <v>0</v>
      </c>
      <c r="AJ136" s="626">
        <v>0</v>
      </c>
      <c r="AK136" s="626">
        <v>0</v>
      </c>
      <c r="AL136" s="626">
        <v>0</v>
      </c>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row>
    <row r="137" spans="1:101">
      <c r="B137" t="s">
        <v>402</v>
      </c>
      <c r="C137" s="626">
        <v>0</v>
      </c>
      <c r="D137" s="626">
        <v>0</v>
      </c>
      <c r="E137" s="626">
        <v>0</v>
      </c>
      <c r="F137" s="626">
        <v>0</v>
      </c>
      <c r="G137" s="626">
        <v>0</v>
      </c>
      <c r="H137" s="626">
        <v>0</v>
      </c>
      <c r="I137" s="626">
        <v>0</v>
      </c>
      <c r="J137" s="626">
        <v>0</v>
      </c>
      <c r="K137" s="626">
        <v>0</v>
      </c>
      <c r="L137" s="627">
        <v>0</v>
      </c>
      <c r="M137" s="626">
        <v>0</v>
      </c>
      <c r="N137" s="626">
        <v>0</v>
      </c>
      <c r="O137" s="626">
        <v>0</v>
      </c>
      <c r="P137" s="626">
        <v>0</v>
      </c>
      <c r="Q137" s="626">
        <v>0</v>
      </c>
      <c r="R137" s="626">
        <v>0</v>
      </c>
      <c r="S137" s="626">
        <v>0</v>
      </c>
      <c r="T137" s="626">
        <v>0</v>
      </c>
      <c r="U137" s="626">
        <v>0</v>
      </c>
      <c r="V137" s="626">
        <v>0</v>
      </c>
      <c r="W137" s="626">
        <v>0</v>
      </c>
      <c r="X137" s="626">
        <v>0</v>
      </c>
      <c r="Y137" s="626">
        <v>0</v>
      </c>
      <c r="Z137" s="626"/>
      <c r="AA137" s="626">
        <v>0</v>
      </c>
      <c r="AB137" s="626">
        <v>0</v>
      </c>
      <c r="AC137" s="626">
        <v>0</v>
      </c>
      <c r="AD137" s="626">
        <v>0</v>
      </c>
      <c r="AE137" s="626">
        <v>0</v>
      </c>
      <c r="AF137" s="626">
        <v>0</v>
      </c>
      <c r="AG137" s="626">
        <v>0</v>
      </c>
      <c r="AH137" s="626">
        <v>0</v>
      </c>
      <c r="AI137" s="626">
        <v>0</v>
      </c>
      <c r="AJ137" s="626">
        <v>0</v>
      </c>
      <c r="AK137" s="626">
        <v>0</v>
      </c>
      <c r="AL137" s="626">
        <v>0</v>
      </c>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row>
    <row r="138" spans="1:101">
      <c r="B138" t="s">
        <v>405</v>
      </c>
      <c r="C138" s="626">
        <v>0</v>
      </c>
      <c r="D138" s="626">
        <v>0</v>
      </c>
      <c r="E138" s="626">
        <v>0</v>
      </c>
      <c r="F138" s="626">
        <v>0</v>
      </c>
      <c r="G138" s="626">
        <v>0</v>
      </c>
      <c r="H138" s="626">
        <v>0</v>
      </c>
      <c r="I138" s="626">
        <v>0</v>
      </c>
      <c r="J138" s="626">
        <v>0</v>
      </c>
      <c r="K138" s="626">
        <v>0</v>
      </c>
      <c r="L138" s="627">
        <v>0</v>
      </c>
      <c r="M138" s="626">
        <v>0</v>
      </c>
      <c r="N138" s="626">
        <v>0</v>
      </c>
      <c r="O138" s="626">
        <v>0</v>
      </c>
      <c r="P138" s="626">
        <v>0</v>
      </c>
      <c r="Q138" s="626">
        <v>0</v>
      </c>
      <c r="R138" s="626">
        <v>0</v>
      </c>
      <c r="S138" s="626">
        <v>0</v>
      </c>
      <c r="T138" s="626">
        <v>0</v>
      </c>
      <c r="U138" s="626">
        <v>0</v>
      </c>
      <c r="V138" s="626">
        <v>0</v>
      </c>
      <c r="W138" s="626">
        <v>0</v>
      </c>
      <c r="X138" s="626">
        <v>0</v>
      </c>
      <c r="Y138" s="626">
        <v>0</v>
      </c>
      <c r="Z138" s="626"/>
      <c r="AA138" s="626">
        <v>0</v>
      </c>
      <c r="AB138" s="626">
        <v>0</v>
      </c>
      <c r="AC138" s="626">
        <v>0</v>
      </c>
      <c r="AD138" s="626">
        <v>0</v>
      </c>
      <c r="AE138" s="626">
        <v>0</v>
      </c>
      <c r="AF138" s="626">
        <v>0</v>
      </c>
      <c r="AG138" s="626">
        <v>0</v>
      </c>
      <c r="AH138" s="626">
        <v>0</v>
      </c>
      <c r="AI138" s="626">
        <v>0</v>
      </c>
      <c r="AJ138" s="626">
        <v>0</v>
      </c>
      <c r="AK138" s="626">
        <v>0</v>
      </c>
      <c r="AL138" s="626">
        <v>0</v>
      </c>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row>
    <row r="139" spans="1:101">
      <c r="B139" t="s">
        <v>408</v>
      </c>
      <c r="C139" s="626">
        <v>0</v>
      </c>
      <c r="D139" s="626">
        <v>0</v>
      </c>
      <c r="E139" s="626">
        <v>0</v>
      </c>
      <c r="F139" s="626">
        <v>0</v>
      </c>
      <c r="G139" s="626">
        <v>0</v>
      </c>
      <c r="H139" s="626">
        <v>0</v>
      </c>
      <c r="I139" s="626">
        <v>0</v>
      </c>
      <c r="J139" s="626">
        <v>0</v>
      </c>
      <c r="K139" s="626">
        <v>0</v>
      </c>
      <c r="L139" s="627">
        <v>0</v>
      </c>
      <c r="M139" s="626">
        <v>0</v>
      </c>
      <c r="N139" s="626">
        <v>0</v>
      </c>
      <c r="O139" s="626">
        <v>0</v>
      </c>
      <c r="P139" s="626">
        <v>0</v>
      </c>
      <c r="Q139" s="626">
        <v>0</v>
      </c>
      <c r="R139" s="626">
        <v>0</v>
      </c>
      <c r="S139" s="626">
        <v>0</v>
      </c>
      <c r="T139" s="626">
        <v>0</v>
      </c>
      <c r="U139" s="626">
        <v>0</v>
      </c>
      <c r="V139" s="626">
        <v>0</v>
      </c>
      <c r="W139" s="626">
        <v>0</v>
      </c>
      <c r="X139" s="626">
        <v>0</v>
      </c>
      <c r="Y139" s="626">
        <v>0</v>
      </c>
      <c r="Z139" s="626"/>
      <c r="AA139" s="626">
        <v>0</v>
      </c>
      <c r="AB139" s="626">
        <v>0</v>
      </c>
      <c r="AC139" s="626">
        <v>0</v>
      </c>
      <c r="AD139" s="626">
        <v>0</v>
      </c>
      <c r="AE139" s="626">
        <v>0</v>
      </c>
      <c r="AF139" s="626">
        <v>0</v>
      </c>
      <c r="AG139" s="626">
        <v>0</v>
      </c>
      <c r="AH139" s="626">
        <v>0</v>
      </c>
      <c r="AI139" s="626">
        <v>0</v>
      </c>
      <c r="AJ139" s="626">
        <v>0</v>
      </c>
      <c r="AK139" s="626">
        <v>0</v>
      </c>
      <c r="AL139" s="626">
        <v>0</v>
      </c>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row>
    <row r="140" spans="1:101">
      <c r="B140" t="s">
        <v>411</v>
      </c>
      <c r="C140" s="626">
        <v>0</v>
      </c>
      <c r="D140" s="626">
        <v>0</v>
      </c>
      <c r="E140" s="626">
        <v>0</v>
      </c>
      <c r="F140" s="626">
        <v>0</v>
      </c>
      <c r="G140" s="626">
        <v>0</v>
      </c>
      <c r="H140" s="626">
        <v>0</v>
      </c>
      <c r="I140" s="626">
        <v>0</v>
      </c>
      <c r="J140" s="626">
        <v>0</v>
      </c>
      <c r="K140" s="626">
        <v>0</v>
      </c>
      <c r="L140" s="627">
        <v>0</v>
      </c>
      <c r="M140" s="626">
        <v>0</v>
      </c>
      <c r="N140" s="626">
        <v>0</v>
      </c>
      <c r="O140" s="626">
        <v>0</v>
      </c>
      <c r="P140" s="626">
        <v>0</v>
      </c>
      <c r="Q140" s="626">
        <v>0</v>
      </c>
      <c r="R140" s="626">
        <v>0</v>
      </c>
      <c r="S140" s="626">
        <v>0</v>
      </c>
      <c r="T140" s="626">
        <v>0</v>
      </c>
      <c r="U140" s="626">
        <v>0</v>
      </c>
      <c r="V140" s="626">
        <v>0</v>
      </c>
      <c r="W140" s="626">
        <v>0</v>
      </c>
      <c r="X140" s="626">
        <v>0</v>
      </c>
      <c r="Y140" s="626">
        <v>0</v>
      </c>
      <c r="Z140" s="626"/>
      <c r="AA140" s="626">
        <v>0</v>
      </c>
      <c r="AB140" s="626">
        <v>0</v>
      </c>
      <c r="AC140" s="626">
        <v>0</v>
      </c>
      <c r="AD140" s="626">
        <v>0</v>
      </c>
      <c r="AE140" s="626">
        <v>0</v>
      </c>
      <c r="AF140" s="626">
        <v>0</v>
      </c>
      <c r="AG140" s="626">
        <v>0</v>
      </c>
      <c r="AH140" s="626">
        <v>0</v>
      </c>
      <c r="AI140" s="626">
        <v>0</v>
      </c>
      <c r="AJ140" s="626">
        <v>0</v>
      </c>
      <c r="AK140" s="626">
        <v>0</v>
      </c>
      <c r="AL140" s="626">
        <v>0</v>
      </c>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row>
    <row r="141" spans="1:101">
      <c r="B141" t="s">
        <v>414</v>
      </c>
      <c r="C141" s="626">
        <v>0</v>
      </c>
      <c r="D141" s="626">
        <v>0</v>
      </c>
      <c r="E141" s="626">
        <v>0</v>
      </c>
      <c r="F141" s="626">
        <v>0</v>
      </c>
      <c r="G141" s="626">
        <v>0</v>
      </c>
      <c r="H141" s="626">
        <v>0</v>
      </c>
      <c r="I141" s="626">
        <v>0</v>
      </c>
      <c r="J141" s="626">
        <v>0</v>
      </c>
      <c r="K141" s="626">
        <v>0</v>
      </c>
      <c r="L141" s="627">
        <v>0</v>
      </c>
      <c r="M141" s="626">
        <v>0</v>
      </c>
      <c r="N141" s="626">
        <v>0</v>
      </c>
      <c r="O141" s="626">
        <v>0</v>
      </c>
      <c r="P141" s="626">
        <v>0</v>
      </c>
      <c r="Q141" s="626">
        <v>0</v>
      </c>
      <c r="R141" s="626">
        <v>0</v>
      </c>
      <c r="S141" s="626">
        <v>0</v>
      </c>
      <c r="T141" s="626">
        <v>0</v>
      </c>
      <c r="U141" s="626">
        <v>0</v>
      </c>
      <c r="V141" s="626">
        <v>0</v>
      </c>
      <c r="W141" s="626">
        <v>0</v>
      </c>
      <c r="X141" s="626">
        <v>0</v>
      </c>
      <c r="Y141" s="626">
        <v>0</v>
      </c>
      <c r="Z141" s="626"/>
      <c r="AA141" s="626">
        <v>0</v>
      </c>
      <c r="AB141" s="626">
        <v>0</v>
      </c>
      <c r="AC141" s="626">
        <v>0</v>
      </c>
      <c r="AD141" s="626">
        <v>0</v>
      </c>
      <c r="AE141" s="626">
        <v>0</v>
      </c>
      <c r="AF141" s="626">
        <v>0</v>
      </c>
      <c r="AG141" s="626">
        <v>0</v>
      </c>
      <c r="AH141" s="626">
        <v>0</v>
      </c>
      <c r="AI141" s="626">
        <v>0</v>
      </c>
      <c r="AJ141" s="626">
        <v>0</v>
      </c>
      <c r="AK141" s="626">
        <v>0</v>
      </c>
      <c r="AL141" s="626">
        <v>0</v>
      </c>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row>
    <row r="142" spans="1:101">
      <c r="B142" t="s">
        <v>417</v>
      </c>
      <c r="C142" s="626">
        <v>0</v>
      </c>
      <c r="D142" s="626">
        <v>0</v>
      </c>
      <c r="E142" s="626">
        <v>0</v>
      </c>
      <c r="F142" s="626">
        <v>0</v>
      </c>
      <c r="G142" s="626">
        <v>0</v>
      </c>
      <c r="H142" s="626">
        <v>0</v>
      </c>
      <c r="I142" s="626">
        <v>0</v>
      </c>
      <c r="J142" s="626">
        <v>0</v>
      </c>
      <c r="K142" s="626">
        <v>0</v>
      </c>
      <c r="L142" s="627">
        <v>0</v>
      </c>
      <c r="M142" s="626">
        <v>0</v>
      </c>
      <c r="N142" s="626">
        <v>0</v>
      </c>
      <c r="O142" s="626">
        <v>0</v>
      </c>
      <c r="P142" s="626">
        <v>0</v>
      </c>
      <c r="Q142" s="626">
        <v>0</v>
      </c>
      <c r="R142" s="626">
        <v>0</v>
      </c>
      <c r="S142" s="626">
        <v>0</v>
      </c>
      <c r="T142" s="626">
        <v>0</v>
      </c>
      <c r="U142" s="626">
        <v>0</v>
      </c>
      <c r="V142" s="626">
        <v>0</v>
      </c>
      <c r="W142" s="626">
        <v>0</v>
      </c>
      <c r="X142" s="626">
        <v>0</v>
      </c>
      <c r="Y142" s="626">
        <v>0</v>
      </c>
      <c r="Z142" s="626"/>
      <c r="AA142" s="626">
        <v>0</v>
      </c>
      <c r="AB142" s="626">
        <v>0</v>
      </c>
      <c r="AC142" s="626">
        <v>0</v>
      </c>
      <c r="AD142" s="626">
        <v>0</v>
      </c>
      <c r="AE142" s="626">
        <v>0</v>
      </c>
      <c r="AF142" s="626">
        <v>0</v>
      </c>
      <c r="AG142" s="626">
        <v>0</v>
      </c>
      <c r="AH142" s="626">
        <v>0</v>
      </c>
      <c r="AI142" s="626">
        <v>0</v>
      </c>
      <c r="AJ142" s="626">
        <v>0</v>
      </c>
      <c r="AK142" s="626">
        <v>0</v>
      </c>
      <c r="AL142" s="626">
        <v>0</v>
      </c>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row>
    <row r="143" spans="1:101">
      <c r="B143" t="s">
        <v>420</v>
      </c>
      <c r="C143" s="626">
        <v>0</v>
      </c>
      <c r="D143" s="626">
        <v>0</v>
      </c>
      <c r="E143" s="626">
        <v>0</v>
      </c>
      <c r="F143" s="626">
        <v>0</v>
      </c>
      <c r="G143" s="626">
        <v>0</v>
      </c>
      <c r="H143" s="626">
        <v>0</v>
      </c>
      <c r="I143" s="626">
        <v>0</v>
      </c>
      <c r="J143" s="626">
        <v>0</v>
      </c>
      <c r="K143" s="626">
        <v>0</v>
      </c>
      <c r="L143" s="627">
        <v>0</v>
      </c>
      <c r="M143" s="626">
        <v>0</v>
      </c>
      <c r="N143" s="626">
        <v>0</v>
      </c>
      <c r="O143" s="626">
        <v>0</v>
      </c>
      <c r="P143" s="626">
        <v>0</v>
      </c>
      <c r="Q143" s="626">
        <v>0</v>
      </c>
      <c r="R143" s="626">
        <v>0</v>
      </c>
      <c r="S143" s="626">
        <v>0</v>
      </c>
      <c r="T143" s="626">
        <v>0</v>
      </c>
      <c r="U143" s="626">
        <v>0</v>
      </c>
      <c r="V143" s="626">
        <v>0</v>
      </c>
      <c r="W143" s="626">
        <v>0</v>
      </c>
      <c r="X143" s="626">
        <v>0</v>
      </c>
      <c r="Y143" s="626">
        <v>0</v>
      </c>
      <c r="Z143" s="626"/>
      <c r="AA143" s="626">
        <v>0</v>
      </c>
      <c r="AB143" s="626">
        <v>0</v>
      </c>
      <c r="AC143" s="626">
        <v>0</v>
      </c>
      <c r="AD143" s="626">
        <v>0</v>
      </c>
      <c r="AE143" s="626">
        <v>0</v>
      </c>
      <c r="AF143" s="626">
        <v>0</v>
      </c>
      <c r="AG143" s="626">
        <v>0</v>
      </c>
      <c r="AH143" s="626">
        <v>0</v>
      </c>
      <c r="AI143" s="626">
        <v>0</v>
      </c>
      <c r="AJ143" s="626">
        <v>0</v>
      </c>
      <c r="AK143" s="626">
        <v>0</v>
      </c>
      <c r="AL143" s="626">
        <v>0</v>
      </c>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row>
    <row r="144" spans="1:101">
      <c r="B144" t="s">
        <v>423</v>
      </c>
      <c r="C144" s="626">
        <v>0</v>
      </c>
      <c r="D144" s="626">
        <v>0</v>
      </c>
      <c r="E144" s="626">
        <v>0</v>
      </c>
      <c r="F144" s="626">
        <v>0</v>
      </c>
      <c r="G144" s="626">
        <v>0</v>
      </c>
      <c r="H144" s="626">
        <v>0</v>
      </c>
      <c r="I144" s="626">
        <v>0</v>
      </c>
      <c r="J144" s="626">
        <v>0</v>
      </c>
      <c r="K144" s="626">
        <v>0</v>
      </c>
      <c r="L144" s="627">
        <v>0</v>
      </c>
      <c r="M144" s="626">
        <v>0</v>
      </c>
      <c r="N144" s="626">
        <v>0</v>
      </c>
      <c r="O144" s="626">
        <v>0</v>
      </c>
      <c r="P144" s="626">
        <v>0</v>
      </c>
      <c r="Q144" s="626">
        <v>0</v>
      </c>
      <c r="R144" s="626">
        <v>0</v>
      </c>
      <c r="S144" s="626">
        <v>0</v>
      </c>
      <c r="T144" s="626">
        <v>0</v>
      </c>
      <c r="U144" s="626">
        <v>0</v>
      </c>
      <c r="V144" s="626">
        <v>0</v>
      </c>
      <c r="W144" s="626">
        <v>0</v>
      </c>
      <c r="X144" s="626">
        <v>0</v>
      </c>
      <c r="Y144" s="626">
        <v>0</v>
      </c>
      <c r="Z144" s="626"/>
      <c r="AA144" s="626">
        <v>0</v>
      </c>
      <c r="AB144" s="626">
        <v>0</v>
      </c>
      <c r="AC144" s="626">
        <v>0</v>
      </c>
      <c r="AD144" s="626">
        <v>0</v>
      </c>
      <c r="AE144" s="626">
        <v>0</v>
      </c>
      <c r="AF144" s="626">
        <v>0</v>
      </c>
      <c r="AG144" s="626">
        <v>0</v>
      </c>
      <c r="AH144" s="626">
        <v>0</v>
      </c>
      <c r="AI144" s="626">
        <v>0</v>
      </c>
      <c r="AJ144" s="626">
        <v>0</v>
      </c>
      <c r="AK144" s="626">
        <v>0</v>
      </c>
      <c r="AL144" s="626">
        <v>0</v>
      </c>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row>
    <row r="145" spans="1:101">
      <c r="B145" t="s">
        <v>426</v>
      </c>
      <c r="C145" s="626">
        <v>0</v>
      </c>
      <c r="D145" s="626">
        <v>0</v>
      </c>
      <c r="E145" s="626">
        <v>0</v>
      </c>
      <c r="F145" s="626">
        <v>0</v>
      </c>
      <c r="G145" s="626">
        <v>0</v>
      </c>
      <c r="H145" s="626">
        <v>0</v>
      </c>
      <c r="I145" s="626">
        <v>0</v>
      </c>
      <c r="J145" s="626">
        <v>0</v>
      </c>
      <c r="K145" s="626">
        <v>0</v>
      </c>
      <c r="L145" s="627">
        <v>0</v>
      </c>
      <c r="M145" s="626">
        <v>0</v>
      </c>
      <c r="N145" s="626">
        <v>0</v>
      </c>
      <c r="O145" s="626">
        <v>0</v>
      </c>
      <c r="P145" s="626">
        <v>0</v>
      </c>
      <c r="Q145" s="626">
        <v>0</v>
      </c>
      <c r="R145" s="626">
        <v>0</v>
      </c>
      <c r="S145" s="626">
        <v>0</v>
      </c>
      <c r="T145" s="626">
        <v>0</v>
      </c>
      <c r="U145" s="626">
        <v>0</v>
      </c>
      <c r="V145" s="626">
        <v>0</v>
      </c>
      <c r="W145" s="626">
        <v>0</v>
      </c>
      <c r="X145" s="626">
        <v>0</v>
      </c>
      <c r="Y145" s="626">
        <v>0</v>
      </c>
      <c r="Z145" s="626"/>
      <c r="AA145" s="626">
        <v>0</v>
      </c>
      <c r="AB145" s="626">
        <v>0</v>
      </c>
      <c r="AC145" s="626">
        <v>0</v>
      </c>
      <c r="AD145" s="626">
        <v>0</v>
      </c>
      <c r="AE145" s="626">
        <v>0</v>
      </c>
      <c r="AF145" s="626">
        <v>0</v>
      </c>
      <c r="AG145" s="626">
        <v>0</v>
      </c>
      <c r="AH145" s="626">
        <v>0</v>
      </c>
      <c r="AI145" s="626">
        <v>0</v>
      </c>
      <c r="AJ145" s="626">
        <v>0</v>
      </c>
      <c r="AK145" s="626">
        <v>0</v>
      </c>
      <c r="AL145" s="626">
        <v>0</v>
      </c>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row>
    <row r="146" spans="1:101">
      <c r="B146" t="s">
        <v>429</v>
      </c>
      <c r="C146" s="626">
        <v>0</v>
      </c>
      <c r="D146" s="626">
        <v>0</v>
      </c>
      <c r="E146" s="626">
        <v>0</v>
      </c>
      <c r="F146" s="626">
        <v>0</v>
      </c>
      <c r="G146" s="626">
        <v>0</v>
      </c>
      <c r="H146" s="626">
        <v>0</v>
      </c>
      <c r="I146" s="626">
        <v>0</v>
      </c>
      <c r="J146" s="626">
        <v>0</v>
      </c>
      <c r="K146" s="626">
        <v>0</v>
      </c>
      <c r="L146" s="627">
        <v>0</v>
      </c>
      <c r="M146" s="626">
        <v>0</v>
      </c>
      <c r="N146" s="626">
        <v>0</v>
      </c>
      <c r="O146" s="626">
        <v>0</v>
      </c>
      <c r="P146" s="626">
        <v>0</v>
      </c>
      <c r="Q146" s="626">
        <v>0</v>
      </c>
      <c r="R146" s="626">
        <v>0</v>
      </c>
      <c r="S146" s="626">
        <v>0</v>
      </c>
      <c r="T146" s="626">
        <v>0</v>
      </c>
      <c r="U146" s="626">
        <v>0</v>
      </c>
      <c r="V146" s="626">
        <v>0</v>
      </c>
      <c r="W146" s="626">
        <v>0</v>
      </c>
      <c r="X146" s="626">
        <v>0</v>
      </c>
      <c r="Y146" s="626">
        <v>0</v>
      </c>
      <c r="Z146" s="626"/>
      <c r="AA146" s="626">
        <v>0</v>
      </c>
      <c r="AB146" s="626">
        <v>0</v>
      </c>
      <c r="AC146" s="626">
        <v>0</v>
      </c>
      <c r="AD146" s="626">
        <v>0</v>
      </c>
      <c r="AE146" s="626">
        <v>0</v>
      </c>
      <c r="AF146" s="626">
        <v>0</v>
      </c>
      <c r="AG146" s="626">
        <v>0</v>
      </c>
      <c r="AH146" s="626">
        <v>0</v>
      </c>
      <c r="AI146" s="626">
        <v>0</v>
      </c>
      <c r="AJ146" s="626">
        <v>0</v>
      </c>
      <c r="AK146" s="626">
        <v>0</v>
      </c>
      <c r="AL146" s="626">
        <v>0</v>
      </c>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row>
    <row r="147" spans="1:101">
      <c r="B147" t="s">
        <v>432</v>
      </c>
      <c r="C147" s="626">
        <v>0</v>
      </c>
      <c r="D147" s="626">
        <v>0</v>
      </c>
      <c r="E147" s="626">
        <v>0</v>
      </c>
      <c r="F147" s="626">
        <v>0</v>
      </c>
      <c r="G147" s="626">
        <v>0</v>
      </c>
      <c r="H147" s="626">
        <v>0</v>
      </c>
      <c r="I147" s="626">
        <v>0</v>
      </c>
      <c r="J147" s="626">
        <v>0</v>
      </c>
      <c r="K147" s="626">
        <v>0</v>
      </c>
      <c r="L147" s="627">
        <v>0</v>
      </c>
      <c r="M147" s="626">
        <v>0</v>
      </c>
      <c r="N147" s="626">
        <v>0</v>
      </c>
      <c r="O147" s="626">
        <v>0</v>
      </c>
      <c r="P147" s="626">
        <v>0</v>
      </c>
      <c r="Q147" s="626">
        <v>0</v>
      </c>
      <c r="R147" s="626">
        <v>0</v>
      </c>
      <c r="S147" s="626">
        <v>0</v>
      </c>
      <c r="T147" s="626">
        <v>0</v>
      </c>
      <c r="U147" s="626">
        <v>0</v>
      </c>
      <c r="V147" s="626">
        <v>0</v>
      </c>
      <c r="W147" s="626">
        <v>0</v>
      </c>
      <c r="X147" s="626">
        <v>0</v>
      </c>
      <c r="Y147" s="626">
        <v>0</v>
      </c>
      <c r="Z147" s="626"/>
      <c r="AA147" s="626">
        <v>0</v>
      </c>
      <c r="AB147" s="626">
        <v>0</v>
      </c>
      <c r="AC147" s="626">
        <v>0</v>
      </c>
      <c r="AD147" s="626">
        <v>0</v>
      </c>
      <c r="AE147" s="626">
        <v>0</v>
      </c>
      <c r="AF147" s="626">
        <v>0</v>
      </c>
      <c r="AG147" s="626">
        <v>0</v>
      </c>
      <c r="AH147" s="626">
        <v>0</v>
      </c>
      <c r="AI147" s="626">
        <v>0</v>
      </c>
      <c r="AJ147" s="626">
        <v>0</v>
      </c>
      <c r="AK147" s="626">
        <v>0</v>
      </c>
      <c r="AL147" s="626">
        <v>0</v>
      </c>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row>
    <row r="148" spans="1:101">
      <c r="B148" t="s">
        <v>435</v>
      </c>
      <c r="C148" s="626">
        <v>0</v>
      </c>
      <c r="D148" s="626">
        <v>0</v>
      </c>
      <c r="E148" s="626">
        <v>0</v>
      </c>
      <c r="F148" s="626">
        <v>0</v>
      </c>
      <c r="G148" s="626">
        <v>0</v>
      </c>
      <c r="H148" s="626">
        <v>0</v>
      </c>
      <c r="I148" s="626">
        <v>0</v>
      </c>
      <c r="J148" s="626">
        <v>0</v>
      </c>
      <c r="K148" s="626">
        <v>0</v>
      </c>
      <c r="L148" s="627">
        <v>0</v>
      </c>
      <c r="M148" s="626">
        <v>0</v>
      </c>
      <c r="N148" s="626">
        <v>0</v>
      </c>
      <c r="O148" s="626">
        <v>0</v>
      </c>
      <c r="P148" s="626">
        <v>0</v>
      </c>
      <c r="Q148" s="626">
        <v>0</v>
      </c>
      <c r="R148" s="626">
        <v>0</v>
      </c>
      <c r="S148" s="626">
        <v>0</v>
      </c>
      <c r="T148" s="626">
        <v>0</v>
      </c>
      <c r="U148" s="626">
        <v>0</v>
      </c>
      <c r="V148" s="626">
        <v>0</v>
      </c>
      <c r="W148" s="626">
        <v>0</v>
      </c>
      <c r="X148" s="626">
        <v>0</v>
      </c>
      <c r="Y148" s="626">
        <v>0</v>
      </c>
      <c r="Z148" s="626"/>
      <c r="AA148" s="626">
        <v>0</v>
      </c>
      <c r="AB148" s="626">
        <v>0</v>
      </c>
      <c r="AC148" s="626">
        <v>0</v>
      </c>
      <c r="AD148" s="626">
        <v>0</v>
      </c>
      <c r="AE148" s="626">
        <v>0</v>
      </c>
      <c r="AF148" s="626">
        <v>0</v>
      </c>
      <c r="AG148" s="626">
        <v>0</v>
      </c>
      <c r="AH148" s="626">
        <v>0</v>
      </c>
      <c r="AI148" s="626">
        <v>0</v>
      </c>
      <c r="AJ148" s="626">
        <v>0</v>
      </c>
      <c r="AK148" s="626">
        <v>0</v>
      </c>
      <c r="AL148" s="626">
        <v>0</v>
      </c>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row>
    <row r="149" spans="1:101">
      <c r="B149" t="s">
        <v>438</v>
      </c>
      <c r="C149" s="626">
        <v>0</v>
      </c>
      <c r="D149" s="626">
        <v>0</v>
      </c>
      <c r="E149" s="626">
        <v>0</v>
      </c>
      <c r="F149" s="626">
        <v>0</v>
      </c>
      <c r="G149" s="626">
        <v>0</v>
      </c>
      <c r="H149" s="626">
        <v>0</v>
      </c>
      <c r="I149" s="626">
        <v>0</v>
      </c>
      <c r="J149" s="626">
        <v>0</v>
      </c>
      <c r="K149" s="626">
        <v>0</v>
      </c>
      <c r="L149" s="627">
        <v>0</v>
      </c>
      <c r="M149" s="626">
        <v>0</v>
      </c>
      <c r="N149" s="626">
        <v>0</v>
      </c>
      <c r="O149" s="626">
        <v>0</v>
      </c>
      <c r="P149" s="626">
        <v>0</v>
      </c>
      <c r="Q149" s="626">
        <v>0</v>
      </c>
      <c r="R149" s="626">
        <v>0</v>
      </c>
      <c r="S149" s="626">
        <v>0</v>
      </c>
      <c r="T149" s="626">
        <v>0</v>
      </c>
      <c r="U149" s="626">
        <v>0</v>
      </c>
      <c r="V149" s="626">
        <v>0</v>
      </c>
      <c r="W149" s="626">
        <v>0</v>
      </c>
      <c r="X149" s="626">
        <v>0</v>
      </c>
      <c r="Y149" s="626">
        <v>0</v>
      </c>
      <c r="Z149" s="626"/>
      <c r="AA149" s="626">
        <v>0</v>
      </c>
      <c r="AB149" s="626">
        <v>0</v>
      </c>
      <c r="AC149" s="626">
        <v>0</v>
      </c>
      <c r="AD149" s="626">
        <v>0</v>
      </c>
      <c r="AE149" s="626">
        <v>0</v>
      </c>
      <c r="AF149" s="626">
        <v>0</v>
      </c>
      <c r="AG149" s="626">
        <v>0</v>
      </c>
      <c r="AH149" s="626">
        <v>0</v>
      </c>
      <c r="AI149" s="626">
        <v>0</v>
      </c>
      <c r="AJ149" s="626">
        <v>0</v>
      </c>
      <c r="AK149" s="626">
        <v>0</v>
      </c>
      <c r="AL149" s="626">
        <v>0</v>
      </c>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row>
    <row r="150" spans="1:101">
      <c r="B150" t="s">
        <v>441</v>
      </c>
      <c r="C150" s="626">
        <v>0</v>
      </c>
      <c r="D150" s="626">
        <v>0</v>
      </c>
      <c r="E150" s="626">
        <v>0</v>
      </c>
      <c r="F150" s="626">
        <v>0</v>
      </c>
      <c r="G150" s="626">
        <v>0</v>
      </c>
      <c r="H150" s="626">
        <v>0</v>
      </c>
      <c r="I150" s="626">
        <v>0</v>
      </c>
      <c r="J150" s="626">
        <v>0</v>
      </c>
      <c r="K150" s="626">
        <v>0</v>
      </c>
      <c r="L150" s="627">
        <v>0</v>
      </c>
      <c r="M150" s="626">
        <v>0</v>
      </c>
      <c r="N150" s="626">
        <v>0</v>
      </c>
      <c r="O150" s="626">
        <v>0</v>
      </c>
      <c r="P150" s="626">
        <v>0</v>
      </c>
      <c r="Q150" s="626">
        <v>0</v>
      </c>
      <c r="R150" s="626">
        <v>0</v>
      </c>
      <c r="S150" s="626">
        <v>0</v>
      </c>
      <c r="T150" s="626">
        <v>0</v>
      </c>
      <c r="U150" s="626">
        <v>0</v>
      </c>
      <c r="V150" s="626">
        <v>0</v>
      </c>
      <c r="W150" s="626">
        <v>0</v>
      </c>
      <c r="X150" s="626">
        <v>0</v>
      </c>
      <c r="Y150" s="626">
        <v>0</v>
      </c>
      <c r="Z150" s="626"/>
      <c r="AA150" s="626">
        <v>0</v>
      </c>
      <c r="AB150" s="626">
        <v>0</v>
      </c>
      <c r="AC150" s="626">
        <v>0</v>
      </c>
      <c r="AD150" s="626">
        <v>0</v>
      </c>
      <c r="AE150" s="626">
        <v>0</v>
      </c>
      <c r="AF150" s="626">
        <v>0</v>
      </c>
      <c r="AG150" s="626">
        <v>0</v>
      </c>
      <c r="AH150" s="626">
        <v>0</v>
      </c>
      <c r="AI150" s="626">
        <v>0</v>
      </c>
      <c r="AJ150" s="626">
        <v>0</v>
      </c>
      <c r="AK150" s="626">
        <v>0</v>
      </c>
      <c r="AL150" s="626">
        <v>0</v>
      </c>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row>
    <row r="151" spans="1:101">
      <c r="B151" t="s">
        <v>444</v>
      </c>
      <c r="C151" s="626">
        <v>0</v>
      </c>
      <c r="D151" s="626">
        <v>0</v>
      </c>
      <c r="E151" s="626">
        <v>0</v>
      </c>
      <c r="F151" s="626">
        <v>0</v>
      </c>
      <c r="G151" s="626">
        <v>0</v>
      </c>
      <c r="H151" s="626">
        <v>0</v>
      </c>
      <c r="I151" s="626">
        <v>0</v>
      </c>
      <c r="J151" s="626">
        <v>0</v>
      </c>
      <c r="K151" s="626">
        <v>0</v>
      </c>
      <c r="L151" s="627">
        <v>0</v>
      </c>
      <c r="M151" s="626">
        <v>0</v>
      </c>
      <c r="N151" s="626">
        <v>0</v>
      </c>
      <c r="O151" s="626">
        <v>0</v>
      </c>
      <c r="P151" s="626">
        <v>0</v>
      </c>
      <c r="Q151" s="626">
        <v>0</v>
      </c>
      <c r="R151" s="626">
        <v>0</v>
      </c>
      <c r="S151" s="626">
        <v>0</v>
      </c>
      <c r="T151" s="626">
        <v>0</v>
      </c>
      <c r="U151" s="626">
        <v>0</v>
      </c>
      <c r="V151" s="626">
        <v>0</v>
      </c>
      <c r="W151" s="626">
        <v>0</v>
      </c>
      <c r="X151" s="626">
        <v>0</v>
      </c>
      <c r="Y151" s="626">
        <v>0</v>
      </c>
      <c r="Z151" s="626"/>
      <c r="AA151" s="626">
        <v>0</v>
      </c>
      <c r="AB151" s="626">
        <v>0</v>
      </c>
      <c r="AC151" s="626">
        <v>0</v>
      </c>
      <c r="AD151" s="626">
        <v>0</v>
      </c>
      <c r="AE151" s="626">
        <v>0</v>
      </c>
      <c r="AF151" s="626">
        <v>0</v>
      </c>
      <c r="AG151" s="626">
        <v>0</v>
      </c>
      <c r="AH151" s="626">
        <v>0</v>
      </c>
      <c r="AI151" s="626">
        <v>0</v>
      </c>
      <c r="AJ151" s="626">
        <v>0</v>
      </c>
      <c r="AK151" s="626">
        <v>0</v>
      </c>
      <c r="AL151" s="626">
        <v>0</v>
      </c>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row>
    <row r="152" spans="1:101">
      <c r="B152" t="s">
        <v>447</v>
      </c>
      <c r="C152" s="626">
        <v>0</v>
      </c>
      <c r="D152" s="626">
        <v>0</v>
      </c>
      <c r="E152" s="626">
        <v>0</v>
      </c>
      <c r="F152" s="626">
        <v>0</v>
      </c>
      <c r="G152" s="626">
        <v>0</v>
      </c>
      <c r="H152" s="626">
        <v>0</v>
      </c>
      <c r="I152" s="626">
        <v>0</v>
      </c>
      <c r="J152" s="626">
        <v>0</v>
      </c>
      <c r="K152" s="626">
        <v>0</v>
      </c>
      <c r="L152" s="627">
        <v>0</v>
      </c>
      <c r="M152" s="626">
        <v>0</v>
      </c>
      <c r="N152" s="626">
        <v>0</v>
      </c>
      <c r="O152" s="626">
        <v>0</v>
      </c>
      <c r="P152" s="626">
        <v>0</v>
      </c>
      <c r="Q152" s="626">
        <v>0</v>
      </c>
      <c r="R152" s="626">
        <v>0</v>
      </c>
      <c r="S152" s="626">
        <v>0</v>
      </c>
      <c r="T152" s="626">
        <v>0</v>
      </c>
      <c r="U152" s="626">
        <v>0</v>
      </c>
      <c r="V152" s="626">
        <v>0</v>
      </c>
      <c r="W152" s="626">
        <v>0</v>
      </c>
      <c r="X152" s="626">
        <v>0</v>
      </c>
      <c r="Y152" s="626">
        <v>0</v>
      </c>
      <c r="Z152" s="626"/>
      <c r="AA152" s="626">
        <v>0</v>
      </c>
      <c r="AB152" s="626">
        <v>0</v>
      </c>
      <c r="AC152" s="626">
        <v>0</v>
      </c>
      <c r="AD152" s="626">
        <v>0</v>
      </c>
      <c r="AE152" s="626">
        <v>0</v>
      </c>
      <c r="AF152" s="626">
        <v>0</v>
      </c>
      <c r="AG152" s="626">
        <v>0</v>
      </c>
      <c r="AH152" s="626">
        <v>0</v>
      </c>
      <c r="AI152" s="626">
        <v>0</v>
      </c>
      <c r="AJ152" s="626">
        <v>0</v>
      </c>
      <c r="AK152" s="626">
        <v>0</v>
      </c>
      <c r="AL152" s="626">
        <v>0</v>
      </c>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row>
    <row r="153" spans="1:101">
      <c r="B153" t="s">
        <v>450</v>
      </c>
      <c r="C153" s="626">
        <v>0</v>
      </c>
      <c r="D153" s="626">
        <v>0</v>
      </c>
      <c r="E153" s="626">
        <v>0</v>
      </c>
      <c r="F153" s="626">
        <v>0</v>
      </c>
      <c r="G153" s="626">
        <v>0</v>
      </c>
      <c r="H153" s="626">
        <v>0</v>
      </c>
      <c r="I153" s="626">
        <v>0</v>
      </c>
      <c r="J153" s="626">
        <v>0</v>
      </c>
      <c r="K153" s="626">
        <v>0</v>
      </c>
      <c r="L153" s="627">
        <v>0</v>
      </c>
      <c r="M153" s="626">
        <v>0</v>
      </c>
      <c r="N153" s="626">
        <v>0</v>
      </c>
      <c r="O153" s="626">
        <v>0</v>
      </c>
      <c r="P153" s="626">
        <v>0</v>
      </c>
      <c r="Q153" s="626">
        <v>0</v>
      </c>
      <c r="R153" s="626">
        <v>0</v>
      </c>
      <c r="S153" s="626">
        <v>0</v>
      </c>
      <c r="T153" s="626">
        <v>0</v>
      </c>
      <c r="U153" s="626">
        <v>0</v>
      </c>
      <c r="V153" s="626">
        <v>0</v>
      </c>
      <c r="W153" s="626">
        <v>0</v>
      </c>
      <c r="X153" s="626">
        <v>0</v>
      </c>
      <c r="Y153" s="626">
        <v>0</v>
      </c>
      <c r="Z153" s="626"/>
      <c r="AA153" s="626">
        <v>0</v>
      </c>
      <c r="AB153" s="626">
        <v>0</v>
      </c>
      <c r="AC153" s="626">
        <v>0</v>
      </c>
      <c r="AD153" s="626">
        <v>0</v>
      </c>
      <c r="AE153" s="626">
        <v>0</v>
      </c>
      <c r="AF153" s="626">
        <v>0</v>
      </c>
      <c r="AG153" s="626">
        <v>0</v>
      </c>
      <c r="AH153" s="626">
        <v>0</v>
      </c>
      <c r="AI153" s="626">
        <v>0</v>
      </c>
      <c r="AJ153" s="626">
        <v>0</v>
      </c>
      <c r="AK153" s="626">
        <v>0</v>
      </c>
      <c r="AL153" s="626">
        <v>0</v>
      </c>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row>
    <row r="154" spans="1:101">
      <c r="B154" t="s">
        <v>784</v>
      </c>
      <c r="C154" s="626">
        <v>0</v>
      </c>
      <c r="D154" s="626">
        <v>0</v>
      </c>
      <c r="E154" s="626">
        <v>0</v>
      </c>
      <c r="F154" s="626">
        <v>0</v>
      </c>
      <c r="G154" s="626">
        <v>0</v>
      </c>
      <c r="H154" s="626">
        <v>0</v>
      </c>
      <c r="I154" s="626">
        <v>0</v>
      </c>
      <c r="J154" s="626">
        <v>0</v>
      </c>
      <c r="K154" s="626">
        <v>0</v>
      </c>
      <c r="L154" s="627">
        <v>0</v>
      </c>
      <c r="M154" s="626">
        <v>0</v>
      </c>
      <c r="N154" s="626">
        <v>0</v>
      </c>
      <c r="O154" s="626">
        <v>0</v>
      </c>
      <c r="P154" s="626">
        <v>0</v>
      </c>
      <c r="Q154" s="626">
        <v>0</v>
      </c>
      <c r="R154" s="626">
        <v>0</v>
      </c>
      <c r="S154" s="626">
        <v>0</v>
      </c>
      <c r="T154" s="626">
        <v>0</v>
      </c>
      <c r="U154" s="626">
        <v>0</v>
      </c>
      <c r="V154" s="626">
        <v>0</v>
      </c>
      <c r="W154" s="626">
        <v>0</v>
      </c>
      <c r="X154" s="626">
        <v>0</v>
      </c>
      <c r="Y154" s="626">
        <v>0</v>
      </c>
      <c r="Z154" s="626"/>
      <c r="AA154" s="626">
        <v>0</v>
      </c>
      <c r="AB154" s="626">
        <v>0</v>
      </c>
      <c r="AC154" s="626">
        <v>0</v>
      </c>
      <c r="AD154" s="626">
        <v>0</v>
      </c>
      <c r="AE154" s="626">
        <v>0</v>
      </c>
      <c r="AF154" s="626">
        <v>0</v>
      </c>
      <c r="AG154" s="626">
        <v>0</v>
      </c>
      <c r="AH154" s="626">
        <v>0</v>
      </c>
      <c r="AI154" s="626">
        <v>0</v>
      </c>
      <c r="AJ154" s="626">
        <v>0</v>
      </c>
      <c r="AK154" s="626">
        <v>0</v>
      </c>
      <c r="AL154" s="626">
        <v>0</v>
      </c>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row>
    <row r="155" spans="1:101">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row>
    <row r="156" spans="1:101">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row>
    <row r="157" spans="1:101" ht="13.5" thickBot="1">
      <c r="A157" s="588" t="s">
        <v>578</v>
      </c>
      <c r="B157" s="589"/>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row>
    <row r="158" spans="1:101" ht="13.5" thickBot="1">
      <c r="A158" s="590"/>
      <c r="B158" s="591"/>
      <c r="C158" s="592"/>
      <c r="D158" s="592"/>
      <c r="E158" s="592"/>
      <c r="F158" s="592"/>
      <c r="G158" s="592"/>
      <c r="H158" s="592"/>
      <c r="I158" s="592"/>
      <c r="J158" s="592"/>
      <c r="K158" s="592"/>
      <c r="L158" s="592"/>
      <c r="M158" s="592"/>
      <c r="N158" s="592"/>
      <c r="O158" s="593" t="s">
        <v>579</v>
      </c>
      <c r="P158" s="594"/>
      <c r="Q158" s="594"/>
      <c r="R158" s="594"/>
      <c r="S158" s="594"/>
      <c r="T158" s="594"/>
      <c r="U158" s="594"/>
      <c r="V158" s="594"/>
      <c r="W158" s="594"/>
      <c r="X158" s="594"/>
      <c r="Y158" s="594"/>
      <c r="Z158" s="595"/>
      <c r="AA158" s="592"/>
      <c r="AB158" s="593" t="s">
        <v>580</v>
      </c>
      <c r="AC158" s="594"/>
      <c r="AD158" s="594"/>
      <c r="AE158" s="594"/>
      <c r="AF158" s="594"/>
      <c r="AG158" s="594"/>
      <c r="AH158" s="594"/>
      <c r="AI158" s="594"/>
      <c r="AJ158" s="594"/>
      <c r="AK158" s="594"/>
      <c r="AL158" s="594"/>
      <c r="AM158" s="595"/>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row>
    <row r="159" spans="1:101" ht="204">
      <c r="A159" s="596" t="s">
        <v>581</v>
      </c>
      <c r="B159" s="597" t="s">
        <v>582</v>
      </c>
      <c r="C159" s="598" t="s">
        <v>385</v>
      </c>
      <c r="D159" s="598" t="s">
        <v>583</v>
      </c>
      <c r="E159" s="598" t="s">
        <v>584</v>
      </c>
      <c r="F159" s="598" t="s">
        <v>585</v>
      </c>
      <c r="G159" s="598" t="s">
        <v>586</v>
      </c>
      <c r="H159" s="598" t="s">
        <v>587</v>
      </c>
      <c r="I159" s="598" t="s">
        <v>588</v>
      </c>
      <c r="J159" s="598" t="s">
        <v>589</v>
      </c>
      <c r="K159" s="598" t="s">
        <v>384</v>
      </c>
      <c r="L159" s="598" t="s">
        <v>590</v>
      </c>
      <c r="M159" s="598" t="s">
        <v>591</v>
      </c>
      <c r="N159" s="598" t="s">
        <v>592</v>
      </c>
      <c r="O159" s="598" t="s">
        <v>593</v>
      </c>
      <c r="P159" s="598" t="s">
        <v>594</v>
      </c>
      <c r="Q159" s="598" t="s">
        <v>595</v>
      </c>
      <c r="R159" s="598" t="s">
        <v>596</v>
      </c>
      <c r="S159" s="598" t="s">
        <v>597</v>
      </c>
      <c r="T159" s="598" t="s">
        <v>598</v>
      </c>
      <c r="U159" s="598" t="s">
        <v>599</v>
      </c>
      <c r="V159" s="598" t="s">
        <v>600</v>
      </c>
      <c r="W159" s="598" t="s">
        <v>601</v>
      </c>
      <c r="X159" s="598" t="s">
        <v>602</v>
      </c>
      <c r="Y159" s="598" t="s">
        <v>603</v>
      </c>
      <c r="Z159" s="598" t="s">
        <v>604</v>
      </c>
      <c r="AA159" s="598"/>
      <c r="AB159" s="598" t="s">
        <v>593</v>
      </c>
      <c r="AC159" s="598" t="s">
        <v>594</v>
      </c>
      <c r="AD159" s="598" t="s">
        <v>595</v>
      </c>
      <c r="AE159" s="598" t="s">
        <v>596</v>
      </c>
      <c r="AF159" s="598" t="s">
        <v>597</v>
      </c>
      <c r="AG159" s="598" t="s">
        <v>598</v>
      </c>
      <c r="AH159" s="598" t="s">
        <v>599</v>
      </c>
      <c r="AI159" s="598" t="s">
        <v>600</v>
      </c>
      <c r="AJ159" s="598" t="s">
        <v>601</v>
      </c>
      <c r="AK159" s="598" t="s">
        <v>602</v>
      </c>
      <c r="AL159" s="598" t="s">
        <v>603</v>
      </c>
      <c r="AM159" s="598" t="s">
        <v>604</v>
      </c>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row>
    <row r="160" spans="1:101">
      <c r="A160" t="s">
        <v>554</v>
      </c>
      <c r="C160" s="538">
        <v>4.297103134260384</v>
      </c>
      <c r="D160" s="538">
        <v>0.45149651239206373</v>
      </c>
      <c r="E160" s="538">
        <v>9.0299302478412752E-2</v>
      </c>
      <c r="F160" s="538">
        <v>0.54179581487047646</v>
      </c>
      <c r="G160" s="538">
        <v>0.69038293341726042</v>
      </c>
      <c r="H160" s="538">
        <v>3.3483521019306868</v>
      </c>
      <c r="I160" s="538">
        <v>1104.4955613061582</v>
      </c>
      <c r="J160" s="538">
        <v>-12.790333463282392</v>
      </c>
      <c r="K160" s="538">
        <v>-7.6191296344260442</v>
      </c>
      <c r="L160" s="599">
        <v>4.8499925763764162</v>
      </c>
      <c r="M160" s="538">
        <v>4.0822938081181877E-2</v>
      </c>
      <c r="N160" s="538">
        <v>1.4713856900822407E-3</v>
      </c>
      <c r="O160" s="538">
        <v>0.2432179258727456</v>
      </c>
      <c r="P160" s="538">
        <v>0.22220291697413769</v>
      </c>
      <c r="Q160" s="538">
        <v>0.25874035563770953</v>
      </c>
      <c r="R160" s="538">
        <v>0.23836914860586231</v>
      </c>
      <c r="S160" s="538">
        <v>0.24788405073101188</v>
      </c>
      <c r="T160" s="538">
        <v>0.24804832440912616</v>
      </c>
      <c r="U160" s="538">
        <v>0.23966341256533577</v>
      </c>
      <c r="V160" s="538">
        <v>0.25804456691451555</v>
      </c>
      <c r="W160" s="538">
        <v>0.22884028286927482</v>
      </c>
      <c r="X160" s="538">
        <v>0.25712594674361794</v>
      </c>
      <c r="Y160" s="538">
        <v>0.23057216431209274</v>
      </c>
      <c r="Z160" s="538">
        <v>0.24239736943387402</v>
      </c>
      <c r="AA160" s="538"/>
      <c r="AB160" s="538">
        <v>0.12641867677388635</v>
      </c>
      <c r="AC160" s="538">
        <v>0.10976667950827243</v>
      </c>
      <c r="AD160" s="538">
        <v>0.10637701141257996</v>
      </c>
      <c r="AE160" s="538">
        <v>0.11297963897663768</v>
      </c>
      <c r="AF160" s="538">
        <v>0.11514256992020407</v>
      </c>
      <c r="AG160" s="538">
        <v>0.10344118938479911</v>
      </c>
      <c r="AH160" s="538">
        <v>0.12475669586524309</v>
      </c>
      <c r="AI160" s="538">
        <v>0.10590864007104898</v>
      </c>
      <c r="AJ160" s="538">
        <v>0.12206419585267227</v>
      </c>
      <c r="AK160" s="538">
        <v>0.10575656632350632</v>
      </c>
      <c r="AL160" s="538">
        <v>0.1234446361084463</v>
      </c>
      <c r="AM160" s="18">
        <v>0.12594016899378208</v>
      </c>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row>
    <row r="161" spans="1:101">
      <c r="A161" t="s">
        <v>561</v>
      </c>
      <c r="C161" s="538">
        <v>4.297103134260384</v>
      </c>
      <c r="D161" s="538">
        <v>0.45149651239206373</v>
      </c>
      <c r="E161" s="538">
        <v>9.0299302478412752E-2</v>
      </c>
      <c r="F161" s="538">
        <v>0.54179581487047646</v>
      </c>
      <c r="G161" s="538">
        <v>0.69038293341726042</v>
      </c>
      <c r="H161" s="538">
        <v>3.3483521019306868</v>
      </c>
      <c r="I161" s="538">
        <v>1104.4955613061582</v>
      </c>
      <c r="J161" s="538">
        <v>-12.790333463282392</v>
      </c>
      <c r="K161" s="538">
        <v>-7.6191296344260442</v>
      </c>
      <c r="L161" s="599">
        <v>4.8499925763764162</v>
      </c>
      <c r="M161" s="538">
        <v>4.0822938081181877E-2</v>
      </c>
      <c r="N161" s="538">
        <v>1.4713856900822407E-3</v>
      </c>
      <c r="O161" s="538">
        <v>0.2432179258727456</v>
      </c>
      <c r="P161" s="538">
        <v>0.22220291697413769</v>
      </c>
      <c r="Q161" s="538">
        <v>0.25874035563770953</v>
      </c>
      <c r="R161" s="538">
        <v>0.23836914860586231</v>
      </c>
      <c r="S161" s="538">
        <v>0.24788405073101188</v>
      </c>
      <c r="T161" s="538">
        <v>0.24804832440912616</v>
      </c>
      <c r="U161" s="538">
        <v>0.23966341256533577</v>
      </c>
      <c r="V161" s="538">
        <v>0.25804456691451555</v>
      </c>
      <c r="W161" s="538">
        <v>0.22884028286927482</v>
      </c>
      <c r="X161" s="538">
        <v>0.25712594674361794</v>
      </c>
      <c r="Y161" s="538">
        <v>0.23057216431209274</v>
      </c>
      <c r="Z161" s="538">
        <v>0.24239736943387402</v>
      </c>
      <c r="AA161" s="538"/>
      <c r="AB161" s="538">
        <v>0.12641867677388635</v>
      </c>
      <c r="AC161" s="538">
        <v>0.10976667950827243</v>
      </c>
      <c r="AD161" s="538">
        <v>0.10637701141257996</v>
      </c>
      <c r="AE161" s="538">
        <v>0.11297963897663768</v>
      </c>
      <c r="AF161" s="538">
        <v>0.11514256992020407</v>
      </c>
      <c r="AG161" s="538">
        <v>0.10344118938479911</v>
      </c>
      <c r="AH161" s="538">
        <v>0.12475669586524309</v>
      </c>
      <c r="AI161" s="538">
        <v>0.10590864007104898</v>
      </c>
      <c r="AJ161" s="538">
        <v>0.12206419585267227</v>
      </c>
      <c r="AK161" s="538">
        <v>0.10575656632350632</v>
      </c>
      <c r="AL161" s="538">
        <v>0.1234446361084463</v>
      </c>
      <c r="AM161" s="18">
        <v>0.12594016899378208</v>
      </c>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row>
    <row r="162" spans="1:101">
      <c r="A162" t="s">
        <v>568</v>
      </c>
      <c r="C162" s="538">
        <v>4.297103134260384</v>
      </c>
      <c r="D162" s="538">
        <v>0.45149651239206373</v>
      </c>
      <c r="E162" s="538">
        <v>9.0299302478412752E-2</v>
      </c>
      <c r="F162" s="538">
        <v>0.54179581487047646</v>
      </c>
      <c r="G162" s="538">
        <v>0.69038293341726042</v>
      </c>
      <c r="H162" s="538">
        <v>3.3483521019306868</v>
      </c>
      <c r="I162" s="538">
        <v>1104.4955613061582</v>
      </c>
      <c r="J162" s="538">
        <v>-12.790333463282392</v>
      </c>
      <c r="K162" s="538">
        <v>-7.6191296344260442</v>
      </c>
      <c r="L162" s="599">
        <v>4.8499925763764162</v>
      </c>
      <c r="M162" s="538">
        <v>4.0822938081181877E-2</v>
      </c>
      <c r="N162" s="538">
        <v>1.4713856900822407E-3</v>
      </c>
      <c r="O162" s="538">
        <v>0.2432179258727456</v>
      </c>
      <c r="P162" s="538">
        <v>0.22220291697413769</v>
      </c>
      <c r="Q162" s="538">
        <v>0.25874035563770953</v>
      </c>
      <c r="R162" s="538">
        <v>0.23836914860586231</v>
      </c>
      <c r="S162" s="538">
        <v>0.24788405073101188</v>
      </c>
      <c r="T162" s="538">
        <v>0.24804832440912616</v>
      </c>
      <c r="U162" s="538">
        <v>0.23966341256533577</v>
      </c>
      <c r="V162" s="538">
        <v>0.25804456691451555</v>
      </c>
      <c r="W162" s="538">
        <v>0.22884028286927482</v>
      </c>
      <c r="X162" s="538">
        <v>0.25712594674361794</v>
      </c>
      <c r="Y162" s="538">
        <v>0.23057216431209274</v>
      </c>
      <c r="Z162" s="538">
        <v>0.24239736943387402</v>
      </c>
      <c r="AA162" s="538"/>
      <c r="AB162" s="538">
        <v>0.12641867677388635</v>
      </c>
      <c r="AC162" s="538">
        <v>0.10976667950827243</v>
      </c>
      <c r="AD162" s="538">
        <v>0.10637701141257996</v>
      </c>
      <c r="AE162" s="538">
        <v>0.11297963897663768</v>
      </c>
      <c r="AF162" s="538">
        <v>0.11514256992020407</v>
      </c>
      <c r="AG162" s="538">
        <v>0.10344118938479911</v>
      </c>
      <c r="AH162" s="538">
        <v>0.12475669586524309</v>
      </c>
      <c r="AI162" s="538">
        <v>0.10590864007104898</v>
      </c>
      <c r="AJ162" s="538">
        <v>0.12206419585267227</v>
      </c>
      <c r="AK162" s="538">
        <v>0.10575656632350632</v>
      </c>
      <c r="AL162" s="538">
        <v>0.1234446361084463</v>
      </c>
      <c r="AM162" s="18">
        <v>0.12594016899378208</v>
      </c>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row>
    <row r="163" spans="1:101">
      <c r="A163" t="s">
        <v>575</v>
      </c>
      <c r="C163" s="538">
        <v>4.297103134260384</v>
      </c>
      <c r="D163" s="538">
        <v>0.45149651239206373</v>
      </c>
      <c r="E163" s="538">
        <v>9.0299302478412752E-2</v>
      </c>
      <c r="F163" s="538">
        <v>0.54179581487047646</v>
      </c>
      <c r="G163" s="538">
        <v>0.69038293341726042</v>
      </c>
      <c r="H163" s="538">
        <v>3.3483521019306868</v>
      </c>
      <c r="I163" s="538">
        <v>1104.4955613061582</v>
      </c>
      <c r="J163" s="538">
        <v>-12.790333463282392</v>
      </c>
      <c r="K163" s="538">
        <v>-7.6191296344260442</v>
      </c>
      <c r="L163" s="599">
        <v>4.8499925763764162</v>
      </c>
      <c r="M163" s="538">
        <v>4.0822938081181877E-2</v>
      </c>
      <c r="N163" s="538">
        <v>1.4713856900822407E-3</v>
      </c>
      <c r="O163" s="538">
        <v>0.2432179258727456</v>
      </c>
      <c r="P163" s="538">
        <v>0.22220291697413769</v>
      </c>
      <c r="Q163" s="538">
        <v>0.25874035563770953</v>
      </c>
      <c r="R163" s="538">
        <v>0.23836914860586231</v>
      </c>
      <c r="S163" s="538">
        <v>0.24788405073101188</v>
      </c>
      <c r="T163" s="538">
        <v>0.24804832440912616</v>
      </c>
      <c r="U163" s="538">
        <v>0.23966341256533577</v>
      </c>
      <c r="V163" s="538">
        <v>0.25804456691451555</v>
      </c>
      <c r="W163" s="538">
        <v>0.22884028286927482</v>
      </c>
      <c r="X163" s="538">
        <v>0.25712594674361794</v>
      </c>
      <c r="Y163" s="538">
        <v>0.23057216431209274</v>
      </c>
      <c r="Z163" s="538">
        <v>0.24239736943387402</v>
      </c>
      <c r="AA163" s="538"/>
      <c r="AB163" s="538">
        <v>0.12641867677388635</v>
      </c>
      <c r="AC163" s="538">
        <v>0.10976667950827243</v>
      </c>
      <c r="AD163" s="538">
        <v>0.10637701141257996</v>
      </c>
      <c r="AE163" s="538">
        <v>0.11297963897663768</v>
      </c>
      <c r="AF163" s="538">
        <v>0.11514256992020407</v>
      </c>
      <c r="AG163" s="538">
        <v>0.10344118938479911</v>
      </c>
      <c r="AH163" s="538">
        <v>0.12475669586524309</v>
      </c>
      <c r="AI163" s="538">
        <v>0.10590864007104898</v>
      </c>
      <c r="AJ163" s="538">
        <v>0.12206419585267227</v>
      </c>
      <c r="AK163" s="538">
        <v>0.10575656632350632</v>
      </c>
      <c r="AL163" s="538">
        <v>0.1234446361084463</v>
      </c>
      <c r="AM163" s="18">
        <v>0.12594016899378208</v>
      </c>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row>
    <row r="164" spans="1:101">
      <c r="A164" t="s">
        <v>552</v>
      </c>
      <c r="C164" s="538">
        <v>5.2516901160200797</v>
      </c>
      <c r="D164" s="538">
        <v>0.59537840461596525</v>
      </c>
      <c r="E164" s="538">
        <v>0.11907568092319305</v>
      </c>
      <c r="F164" s="538">
        <v>0.71445408553915835</v>
      </c>
      <c r="G164" s="538">
        <v>0.91039261254608939</v>
      </c>
      <c r="H164" s="538">
        <v>4.0921772387692723</v>
      </c>
      <c r="I164" s="538">
        <v>1191.7340229636461</v>
      </c>
      <c r="J164" s="538">
        <v>-12.265035179702243</v>
      </c>
      <c r="K164" s="538">
        <v>-6.6853843794400083</v>
      </c>
      <c r="L164" s="599">
        <v>4.494958748978318</v>
      </c>
      <c r="M164" s="538">
        <v>4.9891616218967767E-2</v>
      </c>
      <c r="N164" s="538">
        <v>1.7982490631536358E-3</v>
      </c>
      <c r="O164" s="538">
        <v>0.29724796855839297</v>
      </c>
      <c r="P164" s="538">
        <v>0.27156454624512122</v>
      </c>
      <c r="Q164" s="538">
        <v>0.31621865379127323</v>
      </c>
      <c r="R164" s="538">
        <v>0.29132205176010867</v>
      </c>
      <c r="S164" s="538">
        <v>0.3029506573309515</v>
      </c>
      <c r="T164" s="538">
        <v>0.30315142385312238</v>
      </c>
      <c r="U164" s="538">
        <v>0.29290383209702803</v>
      </c>
      <c r="V164" s="538">
        <v>0.31536829794775101</v>
      </c>
      <c r="W164" s="538">
        <v>0.27967638060859878</v>
      </c>
      <c r="X164" s="538">
        <v>0.3142456094012705</v>
      </c>
      <c r="Y164" s="538">
        <v>0.28179299367819194</v>
      </c>
      <c r="Z164" s="538">
        <v>0.29624512827157257</v>
      </c>
      <c r="AA164" s="538"/>
      <c r="AB164" s="538">
        <v>0.1545021598389047</v>
      </c>
      <c r="AC164" s="538">
        <v>0.13415097749129504</v>
      </c>
      <c r="AD164" s="538">
        <v>0.13000830604996816</v>
      </c>
      <c r="AE164" s="538">
        <v>0.13807768507917126</v>
      </c>
      <c r="AF164" s="538">
        <v>0.14072110384364006</v>
      </c>
      <c r="AG164" s="538">
        <v>0.12642030105126001</v>
      </c>
      <c r="AH164" s="538">
        <v>0.15247097547161625</v>
      </c>
      <c r="AI164" s="538">
        <v>0.12943588759313987</v>
      </c>
      <c r="AJ164" s="538">
        <v>0.14918034565389932</v>
      </c>
      <c r="AK164" s="538">
        <v>0.12925003117500822</v>
      </c>
      <c r="AL164" s="538">
        <v>0.15086744606096286</v>
      </c>
      <c r="AM164" s="18">
        <v>0.15391735316782978</v>
      </c>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row>
    <row r="165" spans="1:101">
      <c r="A165" t="s">
        <v>559</v>
      </c>
      <c r="C165" s="538">
        <v>5.2516901160200797</v>
      </c>
      <c r="D165" s="538">
        <v>0.59537840461596525</v>
      </c>
      <c r="E165" s="538">
        <v>0.11907568092319305</v>
      </c>
      <c r="F165" s="538">
        <v>0.71445408553915835</v>
      </c>
      <c r="G165" s="538">
        <v>0.91039261254608939</v>
      </c>
      <c r="H165" s="538">
        <v>4.0921772387692723</v>
      </c>
      <c r="I165" s="538">
        <v>1191.7340229636461</v>
      </c>
      <c r="J165" s="538">
        <v>-12.265035179702243</v>
      </c>
      <c r="K165" s="538">
        <v>-6.6853843794400083</v>
      </c>
      <c r="L165" s="599">
        <v>4.494958748978318</v>
      </c>
      <c r="M165" s="538">
        <v>4.9891616218967767E-2</v>
      </c>
      <c r="N165" s="538">
        <v>1.7982490631536358E-3</v>
      </c>
      <c r="O165" s="538">
        <v>0.29724796855839297</v>
      </c>
      <c r="P165" s="538">
        <v>0.27156454624512122</v>
      </c>
      <c r="Q165" s="538">
        <v>0.31621865379127323</v>
      </c>
      <c r="R165" s="538">
        <v>0.29132205176010867</v>
      </c>
      <c r="S165" s="538">
        <v>0.3029506573309515</v>
      </c>
      <c r="T165" s="538">
        <v>0.30315142385312238</v>
      </c>
      <c r="U165" s="538">
        <v>0.29290383209702803</v>
      </c>
      <c r="V165" s="538">
        <v>0.31536829794775101</v>
      </c>
      <c r="W165" s="538">
        <v>0.27967638060859878</v>
      </c>
      <c r="X165" s="538">
        <v>0.3142456094012705</v>
      </c>
      <c r="Y165" s="538">
        <v>0.28179299367819194</v>
      </c>
      <c r="Z165" s="538">
        <v>0.29624512827157257</v>
      </c>
      <c r="AA165" s="538"/>
      <c r="AB165" s="538">
        <v>0.1545021598389047</v>
      </c>
      <c r="AC165" s="538">
        <v>0.13415097749129504</v>
      </c>
      <c r="AD165" s="538">
        <v>0.13000830604996816</v>
      </c>
      <c r="AE165" s="538">
        <v>0.13807768507917126</v>
      </c>
      <c r="AF165" s="538">
        <v>0.14072110384364006</v>
      </c>
      <c r="AG165" s="538">
        <v>0.12642030105126001</v>
      </c>
      <c r="AH165" s="538">
        <v>0.15247097547161625</v>
      </c>
      <c r="AI165" s="538">
        <v>0.12943588759313987</v>
      </c>
      <c r="AJ165" s="538">
        <v>0.14918034565389932</v>
      </c>
      <c r="AK165" s="538">
        <v>0.12925003117500822</v>
      </c>
      <c r="AL165" s="538">
        <v>0.15086744606096286</v>
      </c>
      <c r="AM165" s="18">
        <v>0.15391735316782978</v>
      </c>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row>
    <row r="166" spans="1:101">
      <c r="A166" t="s">
        <v>566</v>
      </c>
      <c r="C166" s="538">
        <v>5.2516901160200797</v>
      </c>
      <c r="D166" s="538">
        <v>0.59537840461596525</v>
      </c>
      <c r="E166" s="538">
        <v>0.11907568092319305</v>
      </c>
      <c r="F166" s="538">
        <v>0.71445408553915835</v>
      </c>
      <c r="G166" s="538">
        <v>0.91039261254608939</v>
      </c>
      <c r="H166" s="538">
        <v>4.0921772387692723</v>
      </c>
      <c r="I166" s="538">
        <v>1191.7340229636461</v>
      </c>
      <c r="J166" s="538">
        <v>-12.265035179702243</v>
      </c>
      <c r="K166" s="538">
        <v>-6.6853843794400083</v>
      </c>
      <c r="L166" s="599">
        <v>4.494958748978318</v>
      </c>
      <c r="M166" s="538">
        <v>4.9891616218967767E-2</v>
      </c>
      <c r="N166" s="538">
        <v>1.7982490631536358E-3</v>
      </c>
      <c r="O166" s="538">
        <v>0.29724796855839297</v>
      </c>
      <c r="P166" s="538">
        <v>0.27156454624512122</v>
      </c>
      <c r="Q166" s="538">
        <v>0.31621865379127323</v>
      </c>
      <c r="R166" s="538">
        <v>0.29132205176010867</v>
      </c>
      <c r="S166" s="538">
        <v>0.3029506573309515</v>
      </c>
      <c r="T166" s="538">
        <v>0.30315142385312238</v>
      </c>
      <c r="U166" s="538">
        <v>0.29290383209702803</v>
      </c>
      <c r="V166" s="538">
        <v>0.31536829794775101</v>
      </c>
      <c r="W166" s="538">
        <v>0.27967638060859878</v>
      </c>
      <c r="X166" s="538">
        <v>0.3142456094012705</v>
      </c>
      <c r="Y166" s="538">
        <v>0.28179299367819194</v>
      </c>
      <c r="Z166" s="538">
        <v>0.29624512827157257</v>
      </c>
      <c r="AA166" s="538"/>
      <c r="AB166" s="538">
        <v>0.1545021598389047</v>
      </c>
      <c r="AC166" s="538">
        <v>0.13415097749129504</v>
      </c>
      <c r="AD166" s="538">
        <v>0.13000830604996816</v>
      </c>
      <c r="AE166" s="538">
        <v>0.13807768507917126</v>
      </c>
      <c r="AF166" s="538">
        <v>0.14072110384364006</v>
      </c>
      <c r="AG166" s="538">
        <v>0.12642030105126001</v>
      </c>
      <c r="AH166" s="538">
        <v>0.15247097547161625</v>
      </c>
      <c r="AI166" s="538">
        <v>0.12943588759313987</v>
      </c>
      <c r="AJ166" s="538">
        <v>0.14918034565389932</v>
      </c>
      <c r="AK166" s="538">
        <v>0.12925003117500822</v>
      </c>
      <c r="AL166" s="538">
        <v>0.15086744606096286</v>
      </c>
      <c r="AM166" s="18">
        <v>0.15391735316782978</v>
      </c>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row>
    <row r="167" spans="1:101">
      <c r="A167" t="s">
        <v>573</v>
      </c>
      <c r="C167" s="538">
        <v>5.2516901160200797</v>
      </c>
      <c r="D167" s="538">
        <v>0.59537840461596525</v>
      </c>
      <c r="E167" s="538">
        <v>0.11907568092319305</v>
      </c>
      <c r="F167" s="538">
        <v>0.71445408553915835</v>
      </c>
      <c r="G167" s="538">
        <v>0.91039261254608939</v>
      </c>
      <c r="H167" s="538">
        <v>4.0921772387692723</v>
      </c>
      <c r="I167" s="538">
        <v>1191.7340229636461</v>
      </c>
      <c r="J167" s="538">
        <v>-12.265035179702243</v>
      </c>
      <c r="K167" s="538">
        <v>-6.6853843794400083</v>
      </c>
      <c r="L167" s="599">
        <v>4.494958748978318</v>
      </c>
      <c r="M167" s="538">
        <v>4.9891616218967767E-2</v>
      </c>
      <c r="N167" s="538">
        <v>1.7982490631536358E-3</v>
      </c>
      <c r="O167" s="538">
        <v>0.29724796855839297</v>
      </c>
      <c r="P167" s="538">
        <v>0.27156454624512122</v>
      </c>
      <c r="Q167" s="538">
        <v>0.31621865379127323</v>
      </c>
      <c r="R167" s="538">
        <v>0.29132205176010867</v>
      </c>
      <c r="S167" s="538">
        <v>0.3029506573309515</v>
      </c>
      <c r="T167" s="538">
        <v>0.30315142385312238</v>
      </c>
      <c r="U167" s="538">
        <v>0.29290383209702803</v>
      </c>
      <c r="V167" s="538">
        <v>0.31536829794775101</v>
      </c>
      <c r="W167" s="538">
        <v>0.27967638060859878</v>
      </c>
      <c r="X167" s="538">
        <v>0.3142456094012705</v>
      </c>
      <c r="Y167" s="538">
        <v>0.28179299367819194</v>
      </c>
      <c r="Z167" s="538">
        <v>0.29624512827157257</v>
      </c>
      <c r="AA167" s="538"/>
      <c r="AB167" s="538">
        <v>0.1545021598389047</v>
      </c>
      <c r="AC167" s="538">
        <v>0.13415097749129504</v>
      </c>
      <c r="AD167" s="538">
        <v>0.13000830604996816</v>
      </c>
      <c r="AE167" s="538">
        <v>0.13807768507917126</v>
      </c>
      <c r="AF167" s="538">
        <v>0.14072110384364006</v>
      </c>
      <c r="AG167" s="538">
        <v>0.12642030105126001</v>
      </c>
      <c r="AH167" s="538">
        <v>0.15247097547161625</v>
      </c>
      <c r="AI167" s="538">
        <v>0.12943588759313987</v>
      </c>
      <c r="AJ167" s="538">
        <v>0.14918034565389932</v>
      </c>
      <c r="AK167" s="538">
        <v>0.12925003117500822</v>
      </c>
      <c r="AL167" s="538">
        <v>0.15086744606096286</v>
      </c>
      <c r="AM167" s="18">
        <v>0.15391735316782978</v>
      </c>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row>
    <row r="168" spans="1:101">
      <c r="A168" t="s">
        <v>553</v>
      </c>
      <c r="C168" s="538">
        <v>5.5575439658943351</v>
      </c>
      <c r="D168" s="538">
        <v>0.63250552514432767</v>
      </c>
      <c r="E168" s="538">
        <v>0.12650110502886555</v>
      </c>
      <c r="F168" s="538">
        <v>0.75900663017319325</v>
      </c>
      <c r="G168" s="538">
        <v>0.96716366099540529</v>
      </c>
      <c r="H168" s="538">
        <v>4.3305020704320167</v>
      </c>
      <c r="I168" s="538">
        <v>1196.3734558143462</v>
      </c>
      <c r="J168" s="538">
        <v>-12.237099266265041</v>
      </c>
      <c r="K168" s="538">
        <v>-6.6357268278525448</v>
      </c>
      <c r="L168" s="599">
        <v>4.4775276874805883</v>
      </c>
      <c r="M168" s="538">
        <v>5.2797260413485501E-2</v>
      </c>
      <c r="N168" s="538">
        <v>1.9029775194882078E-3</v>
      </c>
      <c r="O168" s="538">
        <v>0.31455943087669597</v>
      </c>
      <c r="P168" s="538">
        <v>0.28738022845855893</v>
      </c>
      <c r="Q168" s="538">
        <v>0.33463495226423234</v>
      </c>
      <c r="R168" s="538">
        <v>0.30828839385487428</v>
      </c>
      <c r="S168" s="538">
        <v>0.32059423926735631</v>
      </c>
      <c r="T168" s="538">
        <v>0.32080669825659497</v>
      </c>
      <c r="U168" s="538">
        <v>0.30996229569839712</v>
      </c>
      <c r="V168" s="538">
        <v>0.33373507243838091</v>
      </c>
      <c r="W168" s="538">
        <v>0.29596448897719813</v>
      </c>
      <c r="X168" s="538">
        <v>0.33254699949058103</v>
      </c>
      <c r="Y168" s="538">
        <v>0.29820437174506514</v>
      </c>
      <c r="Z168" s="538">
        <v>0.3134981860466225</v>
      </c>
      <c r="AA168" s="538"/>
      <c r="AB168" s="538">
        <v>0.16350023081351658</v>
      </c>
      <c r="AC168" s="538">
        <v>0.14196381336387345</v>
      </c>
      <c r="AD168" s="538">
        <v>0.13757987635258673</v>
      </c>
      <c r="AE168" s="538">
        <v>0.14611920897532873</v>
      </c>
      <c r="AF168" s="538">
        <v>0.14891657814206447</v>
      </c>
      <c r="AG168" s="538">
        <v>0.13378290907354995</v>
      </c>
      <c r="AH168" s="538">
        <v>0.1613507520410338</v>
      </c>
      <c r="AI168" s="538">
        <v>0.13697412074430965</v>
      </c>
      <c r="AJ168" s="538">
        <v>0.15786847881404761</v>
      </c>
      <c r="AK168" s="538">
        <v>0.13677744021055926</v>
      </c>
      <c r="AL168" s="538">
        <v>0.15965383447670037</v>
      </c>
      <c r="AM168" s="18">
        <v>0.16288136551220478</v>
      </c>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row>
    <row r="169" spans="1:101">
      <c r="A169" t="s">
        <v>560</v>
      </c>
      <c r="C169" s="538">
        <v>5.5575439658943351</v>
      </c>
      <c r="D169" s="538">
        <v>0.63250552514432767</v>
      </c>
      <c r="E169" s="538">
        <v>0.12650110502886555</v>
      </c>
      <c r="F169" s="538">
        <v>0.75900663017319325</v>
      </c>
      <c r="G169" s="538">
        <v>0.96716366099540529</v>
      </c>
      <c r="H169" s="538">
        <v>4.3305020704320167</v>
      </c>
      <c r="I169" s="538">
        <v>1196.3734558143462</v>
      </c>
      <c r="J169" s="538">
        <v>-12.237099266265041</v>
      </c>
      <c r="K169" s="538">
        <v>-6.6357268278525448</v>
      </c>
      <c r="L169" s="599">
        <v>4.4775276874805883</v>
      </c>
      <c r="M169" s="538">
        <v>5.2797260413485501E-2</v>
      </c>
      <c r="N169" s="538">
        <v>1.9029775194882078E-3</v>
      </c>
      <c r="O169" s="538">
        <v>0.31455943087669597</v>
      </c>
      <c r="P169" s="538">
        <v>0.28738022845855893</v>
      </c>
      <c r="Q169" s="538">
        <v>0.33463495226423234</v>
      </c>
      <c r="R169" s="538">
        <v>0.30828839385487428</v>
      </c>
      <c r="S169" s="538">
        <v>0.32059423926735631</v>
      </c>
      <c r="T169" s="538">
        <v>0.32080669825659497</v>
      </c>
      <c r="U169" s="538">
        <v>0.30996229569839712</v>
      </c>
      <c r="V169" s="538">
        <v>0.33373507243838091</v>
      </c>
      <c r="W169" s="538">
        <v>0.29596448897719813</v>
      </c>
      <c r="X169" s="538">
        <v>0.33254699949058103</v>
      </c>
      <c r="Y169" s="538">
        <v>0.29820437174506514</v>
      </c>
      <c r="Z169" s="538">
        <v>0.3134981860466225</v>
      </c>
      <c r="AA169" s="538"/>
      <c r="AB169" s="538">
        <v>0.16350023081351658</v>
      </c>
      <c r="AC169" s="538">
        <v>0.14196381336387345</v>
      </c>
      <c r="AD169" s="538">
        <v>0.13757987635258673</v>
      </c>
      <c r="AE169" s="538">
        <v>0.14611920897532873</v>
      </c>
      <c r="AF169" s="538">
        <v>0.14891657814206447</v>
      </c>
      <c r="AG169" s="538">
        <v>0.13378290907354995</v>
      </c>
      <c r="AH169" s="538">
        <v>0.1613507520410338</v>
      </c>
      <c r="AI169" s="538">
        <v>0.13697412074430965</v>
      </c>
      <c r="AJ169" s="538">
        <v>0.15786847881404761</v>
      </c>
      <c r="AK169" s="538">
        <v>0.13677744021055926</v>
      </c>
      <c r="AL169" s="538">
        <v>0.15965383447670037</v>
      </c>
      <c r="AM169" s="18">
        <v>0.16288136551220478</v>
      </c>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row>
    <row r="170" spans="1:101">
      <c r="A170" t="s">
        <v>567</v>
      </c>
      <c r="C170" s="538">
        <v>5.5575439658943351</v>
      </c>
      <c r="D170" s="538">
        <v>0.63250552514432767</v>
      </c>
      <c r="E170" s="538">
        <v>0.12650110502886555</v>
      </c>
      <c r="F170" s="538">
        <v>0.75900663017319325</v>
      </c>
      <c r="G170" s="538">
        <v>0.96716366099540529</v>
      </c>
      <c r="H170" s="538">
        <v>4.3305020704320167</v>
      </c>
      <c r="I170" s="538">
        <v>1196.3734558143462</v>
      </c>
      <c r="J170" s="538">
        <v>-12.237099266265041</v>
      </c>
      <c r="K170" s="538">
        <v>-6.6357268278525448</v>
      </c>
      <c r="L170" s="599">
        <v>4.4775276874805883</v>
      </c>
      <c r="M170" s="538">
        <v>5.2797260413485501E-2</v>
      </c>
      <c r="N170" s="538">
        <v>1.9029775194882078E-3</v>
      </c>
      <c r="O170" s="538">
        <v>0.31455943087669597</v>
      </c>
      <c r="P170" s="538">
        <v>0.28738022845855893</v>
      </c>
      <c r="Q170" s="538">
        <v>0.33463495226423234</v>
      </c>
      <c r="R170" s="538">
        <v>0.30828839385487428</v>
      </c>
      <c r="S170" s="538">
        <v>0.32059423926735631</v>
      </c>
      <c r="T170" s="538">
        <v>0.32080669825659497</v>
      </c>
      <c r="U170" s="538">
        <v>0.30996229569839712</v>
      </c>
      <c r="V170" s="538">
        <v>0.33373507243838091</v>
      </c>
      <c r="W170" s="538">
        <v>0.29596448897719813</v>
      </c>
      <c r="X170" s="538">
        <v>0.33254699949058103</v>
      </c>
      <c r="Y170" s="538">
        <v>0.29820437174506514</v>
      </c>
      <c r="Z170" s="538">
        <v>0.3134981860466225</v>
      </c>
      <c r="AA170" s="538"/>
      <c r="AB170" s="538">
        <v>0.16350023081351658</v>
      </c>
      <c r="AC170" s="538">
        <v>0.14196381336387345</v>
      </c>
      <c r="AD170" s="538">
        <v>0.13757987635258673</v>
      </c>
      <c r="AE170" s="538">
        <v>0.14611920897532873</v>
      </c>
      <c r="AF170" s="538">
        <v>0.14891657814206447</v>
      </c>
      <c r="AG170" s="538">
        <v>0.13378290907354995</v>
      </c>
      <c r="AH170" s="538">
        <v>0.1613507520410338</v>
      </c>
      <c r="AI170" s="538">
        <v>0.13697412074430965</v>
      </c>
      <c r="AJ170" s="538">
        <v>0.15786847881404761</v>
      </c>
      <c r="AK170" s="538">
        <v>0.13677744021055926</v>
      </c>
      <c r="AL170" s="538">
        <v>0.15965383447670037</v>
      </c>
      <c r="AM170" s="18">
        <v>0.16288136551220478</v>
      </c>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row>
    <row r="171" spans="1:101">
      <c r="A171" t="s">
        <v>574</v>
      </c>
      <c r="C171" s="538">
        <v>5.5575439658943351</v>
      </c>
      <c r="D171" s="538">
        <v>0.63250552514432767</v>
      </c>
      <c r="E171" s="538">
        <v>0.12650110502886555</v>
      </c>
      <c r="F171" s="538">
        <v>0.75900663017319325</v>
      </c>
      <c r="G171" s="538">
        <v>0.96716366099540529</v>
      </c>
      <c r="H171" s="538">
        <v>4.3305020704320167</v>
      </c>
      <c r="I171" s="538">
        <v>1196.3734558143462</v>
      </c>
      <c r="J171" s="538">
        <v>-12.237099266265041</v>
      </c>
      <c r="K171" s="538">
        <v>-6.6357268278525448</v>
      </c>
      <c r="L171" s="599">
        <v>4.4775276874805883</v>
      </c>
      <c r="M171" s="538">
        <v>5.2797260413485501E-2</v>
      </c>
      <c r="N171" s="538">
        <v>1.9029775194882078E-3</v>
      </c>
      <c r="O171" s="538">
        <v>0.31455943087669597</v>
      </c>
      <c r="P171" s="538">
        <v>0.28738022845855893</v>
      </c>
      <c r="Q171" s="538">
        <v>0.33463495226423234</v>
      </c>
      <c r="R171" s="538">
        <v>0.30828839385487428</v>
      </c>
      <c r="S171" s="538">
        <v>0.32059423926735631</v>
      </c>
      <c r="T171" s="538">
        <v>0.32080669825659497</v>
      </c>
      <c r="U171" s="538">
        <v>0.30996229569839712</v>
      </c>
      <c r="V171" s="538">
        <v>0.33373507243838091</v>
      </c>
      <c r="W171" s="538">
        <v>0.29596448897719813</v>
      </c>
      <c r="X171" s="538">
        <v>0.33254699949058103</v>
      </c>
      <c r="Y171" s="538">
        <v>0.29820437174506514</v>
      </c>
      <c r="Z171" s="538">
        <v>0.3134981860466225</v>
      </c>
      <c r="AA171" s="538"/>
      <c r="AB171" s="538">
        <v>0.16350023081351658</v>
      </c>
      <c r="AC171" s="538">
        <v>0.14196381336387345</v>
      </c>
      <c r="AD171" s="538">
        <v>0.13757987635258673</v>
      </c>
      <c r="AE171" s="538">
        <v>0.14611920897532873</v>
      </c>
      <c r="AF171" s="538">
        <v>0.14891657814206447</v>
      </c>
      <c r="AG171" s="538">
        <v>0.13378290907354995</v>
      </c>
      <c r="AH171" s="538">
        <v>0.1613507520410338</v>
      </c>
      <c r="AI171" s="538">
        <v>0.13697412074430965</v>
      </c>
      <c r="AJ171" s="538">
        <v>0.15786847881404761</v>
      </c>
      <c r="AK171" s="538">
        <v>0.13677744021055926</v>
      </c>
      <c r="AL171" s="538">
        <v>0.15965383447670037</v>
      </c>
      <c r="AM171" s="18">
        <v>0.16288136551220478</v>
      </c>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row>
    <row r="172" spans="1:101">
      <c r="A172" t="s">
        <v>550</v>
      </c>
      <c r="C172" s="538">
        <v>4.1447481480335853</v>
      </c>
      <c r="D172" s="538">
        <v>0.51447889576687988</v>
      </c>
      <c r="E172" s="538">
        <v>0.10289577915337599</v>
      </c>
      <c r="F172" s="538">
        <v>0.61737467492025588</v>
      </c>
      <c r="G172" s="538">
        <v>0.78668924231330317</v>
      </c>
      <c r="H172" s="538">
        <v>3.2296353473094532</v>
      </c>
      <c r="I172" s="538">
        <v>1304.8325155455545</v>
      </c>
      <c r="J172" s="538">
        <v>-11.584023124927203</v>
      </c>
      <c r="K172" s="538">
        <v>-5.4748497277739405</v>
      </c>
      <c r="L172" s="599">
        <v>4.1053508470670481</v>
      </c>
      <c r="M172" s="538">
        <v>3.9375549462670932E-2</v>
      </c>
      <c r="N172" s="538">
        <v>1.4192173013927816E-3</v>
      </c>
      <c r="O172" s="538">
        <v>0.23459456669595202</v>
      </c>
      <c r="P172" s="538">
        <v>0.21432465078005061</v>
      </c>
      <c r="Q172" s="538">
        <v>0.24956664439833867</v>
      </c>
      <c r="R172" s="538">
        <v>0.22991770417503399</v>
      </c>
      <c r="S172" s="538">
        <v>0.23909525280017827</v>
      </c>
      <c r="T172" s="538">
        <v>0.23925370210936664</v>
      </c>
      <c r="U172" s="538">
        <v>0.23116607964601685</v>
      </c>
      <c r="V172" s="538">
        <v>0.24889552505775592</v>
      </c>
      <c r="W172" s="538">
        <v>0.22072668702217724</v>
      </c>
      <c r="X172" s="538">
        <v>0.24800947482039537</v>
      </c>
      <c r="Y172" s="538">
        <v>0.22239716412697422</v>
      </c>
      <c r="Z172" s="538">
        <v>0.23380310331373666</v>
      </c>
      <c r="AA172" s="538"/>
      <c r="AB172" s="538">
        <v>0.12193646744427233</v>
      </c>
      <c r="AC172" s="538">
        <v>0.10587487137099283</v>
      </c>
      <c r="AD172" s="538">
        <v>0.10260538489996633</v>
      </c>
      <c r="AE172" s="538">
        <v>0.10897391446819928</v>
      </c>
      <c r="AF172" s="538">
        <v>0.11106015809386323</v>
      </c>
      <c r="AG172" s="538">
        <v>9.9773653258343697E-2</v>
      </c>
      <c r="AH172" s="538">
        <v>0.12033341253077838</v>
      </c>
      <c r="AI172" s="538">
        <v>0.10215361979455732</v>
      </c>
      <c r="AJ172" s="538">
        <v>0.1177363758546726</v>
      </c>
      <c r="AK172" s="538">
        <v>0.10200693786401052</v>
      </c>
      <c r="AL172" s="538">
        <v>0.11906787221741355</v>
      </c>
      <c r="AM172" s="18">
        <v>0.12147492529053758</v>
      </c>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row>
    <row r="173" spans="1:101">
      <c r="A173" t="s">
        <v>557</v>
      </c>
      <c r="C173" s="538">
        <v>4.1447481480335853</v>
      </c>
      <c r="D173" s="538">
        <v>0.51447889576687988</v>
      </c>
      <c r="E173" s="538">
        <v>0.10289577915337599</v>
      </c>
      <c r="F173" s="538">
        <v>0.61737467492025588</v>
      </c>
      <c r="G173" s="538">
        <v>0.78668924231330317</v>
      </c>
      <c r="H173" s="538">
        <v>3.2296353473094532</v>
      </c>
      <c r="I173" s="538">
        <v>1304.8325155455545</v>
      </c>
      <c r="J173" s="538">
        <v>-11.584023124927203</v>
      </c>
      <c r="K173" s="538">
        <v>-5.4748497277739405</v>
      </c>
      <c r="L173" s="599">
        <v>4.1053508470670481</v>
      </c>
      <c r="M173" s="538">
        <v>3.9375549462670932E-2</v>
      </c>
      <c r="N173" s="538">
        <v>1.4192173013927816E-3</v>
      </c>
      <c r="O173" s="538">
        <v>0.23459456669595202</v>
      </c>
      <c r="P173" s="538">
        <v>0.21432465078005061</v>
      </c>
      <c r="Q173" s="538">
        <v>0.24956664439833867</v>
      </c>
      <c r="R173" s="538">
        <v>0.22991770417503399</v>
      </c>
      <c r="S173" s="538">
        <v>0.23909525280017827</v>
      </c>
      <c r="T173" s="538">
        <v>0.23925370210936664</v>
      </c>
      <c r="U173" s="538">
        <v>0.23116607964601685</v>
      </c>
      <c r="V173" s="538">
        <v>0.24889552505775592</v>
      </c>
      <c r="W173" s="538">
        <v>0.22072668702217724</v>
      </c>
      <c r="X173" s="538">
        <v>0.24800947482039537</v>
      </c>
      <c r="Y173" s="538">
        <v>0.22239716412697422</v>
      </c>
      <c r="Z173" s="538">
        <v>0.23380310331373666</v>
      </c>
      <c r="AA173" s="538"/>
      <c r="AB173" s="538">
        <v>0.12193646744427233</v>
      </c>
      <c r="AC173" s="538">
        <v>0.10587487137099283</v>
      </c>
      <c r="AD173" s="538">
        <v>0.10260538489996633</v>
      </c>
      <c r="AE173" s="538">
        <v>0.10897391446819928</v>
      </c>
      <c r="AF173" s="538">
        <v>0.11106015809386323</v>
      </c>
      <c r="AG173" s="538">
        <v>9.9773653258343697E-2</v>
      </c>
      <c r="AH173" s="538">
        <v>0.12033341253077838</v>
      </c>
      <c r="AI173" s="538">
        <v>0.10215361979455732</v>
      </c>
      <c r="AJ173" s="538">
        <v>0.1177363758546726</v>
      </c>
      <c r="AK173" s="538">
        <v>0.10200693786401052</v>
      </c>
      <c r="AL173" s="538">
        <v>0.11906787221741355</v>
      </c>
      <c r="AM173" s="18">
        <v>0.12147492529053758</v>
      </c>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row>
    <row r="174" spans="1:101">
      <c r="A174" t="s">
        <v>564</v>
      </c>
      <c r="C174" s="538">
        <v>4.1447481480335853</v>
      </c>
      <c r="D174" s="538">
        <v>0.51447889576687988</v>
      </c>
      <c r="E174" s="538">
        <v>0.10289577915337599</v>
      </c>
      <c r="F174" s="538">
        <v>0.61737467492025588</v>
      </c>
      <c r="G174" s="538">
        <v>0.78668924231330317</v>
      </c>
      <c r="H174" s="538">
        <v>3.2296353473094532</v>
      </c>
      <c r="I174" s="538">
        <v>1304.8325155455545</v>
      </c>
      <c r="J174" s="538">
        <v>-11.584023124927203</v>
      </c>
      <c r="K174" s="538">
        <v>-5.4748497277739405</v>
      </c>
      <c r="L174" s="599">
        <v>4.1053508470670481</v>
      </c>
      <c r="M174" s="538">
        <v>3.9375549462670932E-2</v>
      </c>
      <c r="N174" s="538">
        <v>1.4192173013927816E-3</v>
      </c>
      <c r="O174" s="538">
        <v>0.23459456669595202</v>
      </c>
      <c r="P174" s="538">
        <v>0.21432465078005061</v>
      </c>
      <c r="Q174" s="538">
        <v>0.24956664439833867</v>
      </c>
      <c r="R174" s="538">
        <v>0.22991770417503399</v>
      </c>
      <c r="S174" s="538">
        <v>0.23909525280017827</v>
      </c>
      <c r="T174" s="538">
        <v>0.23925370210936664</v>
      </c>
      <c r="U174" s="538">
        <v>0.23116607964601685</v>
      </c>
      <c r="V174" s="538">
        <v>0.24889552505775592</v>
      </c>
      <c r="W174" s="538">
        <v>0.22072668702217724</v>
      </c>
      <c r="X174" s="538">
        <v>0.24800947482039537</v>
      </c>
      <c r="Y174" s="538">
        <v>0.22239716412697422</v>
      </c>
      <c r="Z174" s="538">
        <v>0.23380310331373666</v>
      </c>
      <c r="AA174" s="538"/>
      <c r="AB174" s="538">
        <v>0.12193646744427233</v>
      </c>
      <c r="AC174" s="538">
        <v>0.10587487137099283</v>
      </c>
      <c r="AD174" s="538">
        <v>0.10260538489996633</v>
      </c>
      <c r="AE174" s="538">
        <v>0.10897391446819928</v>
      </c>
      <c r="AF174" s="538">
        <v>0.11106015809386323</v>
      </c>
      <c r="AG174" s="538">
        <v>9.9773653258343697E-2</v>
      </c>
      <c r="AH174" s="538">
        <v>0.12033341253077838</v>
      </c>
      <c r="AI174" s="538">
        <v>0.10215361979455732</v>
      </c>
      <c r="AJ174" s="538">
        <v>0.1177363758546726</v>
      </c>
      <c r="AK174" s="538">
        <v>0.10200693786401052</v>
      </c>
      <c r="AL174" s="538">
        <v>0.11906787221741355</v>
      </c>
      <c r="AM174" s="18">
        <v>0.12147492529053758</v>
      </c>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row>
    <row r="175" spans="1:101">
      <c r="A175" t="s">
        <v>571</v>
      </c>
      <c r="C175" s="538">
        <v>4.1447481480335853</v>
      </c>
      <c r="D175" s="538">
        <v>0.51447889576687988</v>
      </c>
      <c r="E175" s="538">
        <v>0.10289577915337599</v>
      </c>
      <c r="F175" s="538">
        <v>0.61737467492025588</v>
      </c>
      <c r="G175" s="538">
        <v>0.78668924231330317</v>
      </c>
      <c r="H175" s="538">
        <v>3.2296353473094532</v>
      </c>
      <c r="I175" s="538">
        <v>1304.8325155455545</v>
      </c>
      <c r="J175" s="538">
        <v>-11.584023124927203</v>
      </c>
      <c r="K175" s="538">
        <v>-5.4748497277739405</v>
      </c>
      <c r="L175" s="599">
        <v>4.1053508470670481</v>
      </c>
      <c r="M175" s="538">
        <v>3.9375549462670932E-2</v>
      </c>
      <c r="N175" s="538">
        <v>1.4192173013927816E-3</v>
      </c>
      <c r="O175" s="538">
        <v>0.23459456669595202</v>
      </c>
      <c r="P175" s="538">
        <v>0.21432465078005061</v>
      </c>
      <c r="Q175" s="538">
        <v>0.24956664439833867</v>
      </c>
      <c r="R175" s="538">
        <v>0.22991770417503399</v>
      </c>
      <c r="S175" s="538">
        <v>0.23909525280017827</v>
      </c>
      <c r="T175" s="538">
        <v>0.23925370210936664</v>
      </c>
      <c r="U175" s="538">
        <v>0.23116607964601685</v>
      </c>
      <c r="V175" s="538">
        <v>0.24889552505775592</v>
      </c>
      <c r="W175" s="538">
        <v>0.22072668702217724</v>
      </c>
      <c r="X175" s="538">
        <v>0.24800947482039537</v>
      </c>
      <c r="Y175" s="538">
        <v>0.22239716412697422</v>
      </c>
      <c r="Z175" s="538">
        <v>0.23380310331373666</v>
      </c>
      <c r="AA175" s="538"/>
      <c r="AB175" s="538">
        <v>0.12193646744427233</v>
      </c>
      <c r="AC175" s="538">
        <v>0.10587487137099283</v>
      </c>
      <c r="AD175" s="538">
        <v>0.10260538489996633</v>
      </c>
      <c r="AE175" s="538">
        <v>0.10897391446819928</v>
      </c>
      <c r="AF175" s="538">
        <v>0.11106015809386323</v>
      </c>
      <c r="AG175" s="538">
        <v>9.9773653258343697E-2</v>
      </c>
      <c r="AH175" s="538">
        <v>0.12033341253077838</v>
      </c>
      <c r="AI175" s="538">
        <v>0.10215361979455732</v>
      </c>
      <c r="AJ175" s="538">
        <v>0.1177363758546726</v>
      </c>
      <c r="AK175" s="538">
        <v>0.10200693786401052</v>
      </c>
      <c r="AL175" s="538">
        <v>0.11906787221741355</v>
      </c>
      <c r="AM175" s="18">
        <v>0.12147492529053758</v>
      </c>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row>
    <row r="176" spans="1:101">
      <c r="A176" t="s">
        <v>549</v>
      </c>
      <c r="C176" s="538">
        <v>7.4915370557043142</v>
      </c>
      <c r="D176" s="538">
        <v>0.92996697553610974</v>
      </c>
      <c r="E176" s="538">
        <v>0.18599339510722196</v>
      </c>
      <c r="F176" s="538">
        <v>1.1159603706433316</v>
      </c>
      <c r="G176" s="538">
        <v>1.4220117120069311</v>
      </c>
      <c r="H176" s="538">
        <v>5.8374916922901932</v>
      </c>
      <c r="I176" s="538">
        <v>1304.9141683670837</v>
      </c>
      <c r="J176" s="538">
        <v>-11.583531460056172</v>
      </c>
      <c r="K176" s="538">
        <v>-5.4739757676741085</v>
      </c>
      <c r="L176" s="599">
        <v>4.105093961604263</v>
      </c>
      <c r="M176" s="538">
        <v>7.1170401035891229E-2</v>
      </c>
      <c r="N176" s="538">
        <v>2.5652026670245219E-3</v>
      </c>
      <c r="O176" s="538">
        <v>0.4240242897034478</v>
      </c>
      <c r="P176" s="538">
        <v>0.38738688236857016</v>
      </c>
      <c r="Q176" s="538">
        <v>0.45108597618047253</v>
      </c>
      <c r="R176" s="538">
        <v>0.41557096814360467</v>
      </c>
      <c r="S176" s="538">
        <v>0.43215917643761542</v>
      </c>
      <c r="T176" s="538">
        <v>0.43244556992374283</v>
      </c>
      <c r="U176" s="538">
        <v>0.41782737812710086</v>
      </c>
      <c r="V176" s="538">
        <v>0.44987294339073336</v>
      </c>
      <c r="W176" s="538">
        <v>0.39895841579518093</v>
      </c>
      <c r="X176" s="538">
        <v>0.44827142794291264</v>
      </c>
      <c r="Y176" s="538">
        <v>0.40197776478439018</v>
      </c>
      <c r="Z176" s="538">
        <v>0.42259373782325393</v>
      </c>
      <c r="AA176" s="538"/>
      <c r="AB176" s="538">
        <v>0.22039736352469122</v>
      </c>
      <c r="AC176" s="538">
        <v>0.19136639762298374</v>
      </c>
      <c r="AD176" s="538">
        <v>0.18545687594011875</v>
      </c>
      <c r="AE176" s="538">
        <v>0.19696784682345242</v>
      </c>
      <c r="AF176" s="538">
        <v>0.20073868424726632</v>
      </c>
      <c r="AG176" s="538">
        <v>0.18033858605437719</v>
      </c>
      <c r="AH176" s="538">
        <v>0.21749987859729789</v>
      </c>
      <c r="AI176" s="538">
        <v>0.18464032089098953</v>
      </c>
      <c r="AJ176" s="538">
        <v>0.21280579446982198</v>
      </c>
      <c r="AK176" s="538">
        <v>0.18437519667141183</v>
      </c>
      <c r="AL176" s="538">
        <v>0.21521244355554311</v>
      </c>
      <c r="AM176" s="18">
        <v>0.21956313668533214</v>
      </c>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row>
    <row r="177" spans="1:101">
      <c r="A177" t="s">
        <v>556</v>
      </c>
      <c r="C177" s="538">
        <v>7.4915370557043142</v>
      </c>
      <c r="D177" s="538">
        <v>0.92996697553610974</v>
      </c>
      <c r="E177" s="538">
        <v>0.18599339510722196</v>
      </c>
      <c r="F177" s="538">
        <v>1.1159603706433316</v>
      </c>
      <c r="G177" s="538">
        <v>1.4220117120069311</v>
      </c>
      <c r="H177" s="538">
        <v>5.8374916922901932</v>
      </c>
      <c r="I177" s="538">
        <v>1304.9141683670837</v>
      </c>
      <c r="J177" s="538">
        <v>-11.583531460056172</v>
      </c>
      <c r="K177" s="538">
        <v>-5.4739757676741085</v>
      </c>
      <c r="L177" s="599">
        <v>4.105093961604263</v>
      </c>
      <c r="M177" s="538">
        <v>7.1170401035891229E-2</v>
      </c>
      <c r="N177" s="538">
        <v>2.5652026670245219E-3</v>
      </c>
      <c r="O177" s="538">
        <v>0.4240242897034478</v>
      </c>
      <c r="P177" s="538">
        <v>0.38738688236857016</v>
      </c>
      <c r="Q177" s="538">
        <v>0.45108597618047253</v>
      </c>
      <c r="R177" s="538">
        <v>0.41557096814360467</v>
      </c>
      <c r="S177" s="538">
        <v>0.43215917643761542</v>
      </c>
      <c r="T177" s="538">
        <v>0.43244556992374283</v>
      </c>
      <c r="U177" s="538">
        <v>0.41782737812710086</v>
      </c>
      <c r="V177" s="538">
        <v>0.44987294339073336</v>
      </c>
      <c r="W177" s="538">
        <v>0.39895841579518093</v>
      </c>
      <c r="X177" s="538">
        <v>0.44827142794291264</v>
      </c>
      <c r="Y177" s="538">
        <v>0.40197776478439018</v>
      </c>
      <c r="Z177" s="538">
        <v>0.42259373782325393</v>
      </c>
      <c r="AA177" s="538"/>
      <c r="AB177" s="538">
        <v>0.22039736352469122</v>
      </c>
      <c r="AC177" s="538">
        <v>0.19136639762298374</v>
      </c>
      <c r="AD177" s="538">
        <v>0.18545687594011875</v>
      </c>
      <c r="AE177" s="538">
        <v>0.19696784682345242</v>
      </c>
      <c r="AF177" s="538">
        <v>0.20073868424726632</v>
      </c>
      <c r="AG177" s="538">
        <v>0.18033858605437719</v>
      </c>
      <c r="AH177" s="538">
        <v>0.21749987859729789</v>
      </c>
      <c r="AI177" s="538">
        <v>0.18464032089098953</v>
      </c>
      <c r="AJ177" s="538">
        <v>0.21280579446982198</v>
      </c>
      <c r="AK177" s="538">
        <v>0.18437519667141183</v>
      </c>
      <c r="AL177" s="538">
        <v>0.21521244355554311</v>
      </c>
      <c r="AM177" s="18">
        <v>0.21956313668533214</v>
      </c>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row>
    <row r="178" spans="1:101">
      <c r="A178" t="s">
        <v>563</v>
      </c>
      <c r="C178" s="538">
        <v>7.4915370557043142</v>
      </c>
      <c r="D178" s="538">
        <v>0.92996697553610974</v>
      </c>
      <c r="E178" s="538">
        <v>0.18599339510722196</v>
      </c>
      <c r="F178" s="538">
        <v>1.1159603706433316</v>
      </c>
      <c r="G178" s="538">
        <v>1.4220117120069311</v>
      </c>
      <c r="H178" s="538">
        <v>5.8374916922901932</v>
      </c>
      <c r="I178" s="538">
        <v>1304.9141683670837</v>
      </c>
      <c r="J178" s="538">
        <v>-11.583531460056172</v>
      </c>
      <c r="K178" s="538">
        <v>-5.4739757676741085</v>
      </c>
      <c r="L178" s="599">
        <v>4.105093961604263</v>
      </c>
      <c r="M178" s="538">
        <v>7.1170401035891229E-2</v>
      </c>
      <c r="N178" s="538">
        <v>2.5652026670245219E-3</v>
      </c>
      <c r="O178" s="538">
        <v>0.4240242897034478</v>
      </c>
      <c r="P178" s="538">
        <v>0.38738688236857016</v>
      </c>
      <c r="Q178" s="538">
        <v>0.45108597618047253</v>
      </c>
      <c r="R178" s="538">
        <v>0.41557096814360467</v>
      </c>
      <c r="S178" s="538">
        <v>0.43215917643761542</v>
      </c>
      <c r="T178" s="538">
        <v>0.43244556992374283</v>
      </c>
      <c r="U178" s="538">
        <v>0.41782737812710086</v>
      </c>
      <c r="V178" s="538">
        <v>0.44987294339073336</v>
      </c>
      <c r="W178" s="538">
        <v>0.39895841579518093</v>
      </c>
      <c r="X178" s="538">
        <v>0.44827142794291264</v>
      </c>
      <c r="Y178" s="538">
        <v>0.40197776478439018</v>
      </c>
      <c r="Z178" s="538">
        <v>0.42259373782325393</v>
      </c>
      <c r="AA178" s="538"/>
      <c r="AB178" s="538">
        <v>0.22039736352469122</v>
      </c>
      <c r="AC178" s="538">
        <v>0.19136639762298374</v>
      </c>
      <c r="AD178" s="538">
        <v>0.18545687594011875</v>
      </c>
      <c r="AE178" s="538">
        <v>0.19696784682345242</v>
      </c>
      <c r="AF178" s="538">
        <v>0.20073868424726632</v>
      </c>
      <c r="AG178" s="538">
        <v>0.18033858605437719</v>
      </c>
      <c r="AH178" s="538">
        <v>0.21749987859729789</v>
      </c>
      <c r="AI178" s="538">
        <v>0.18464032089098953</v>
      </c>
      <c r="AJ178" s="538">
        <v>0.21280579446982198</v>
      </c>
      <c r="AK178" s="538">
        <v>0.18437519667141183</v>
      </c>
      <c r="AL178" s="538">
        <v>0.21521244355554311</v>
      </c>
      <c r="AM178" s="18">
        <v>0.21956313668533214</v>
      </c>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row>
    <row r="179" spans="1:101">
      <c r="A179" t="s">
        <v>570</v>
      </c>
      <c r="C179" s="538">
        <v>7.4915370557043142</v>
      </c>
      <c r="D179" s="538">
        <v>0.92996697553610974</v>
      </c>
      <c r="E179" s="538">
        <v>0.18599339510722196</v>
      </c>
      <c r="F179" s="538">
        <v>1.1159603706433316</v>
      </c>
      <c r="G179" s="538">
        <v>1.4220117120069311</v>
      </c>
      <c r="H179" s="538">
        <v>5.8374916922901932</v>
      </c>
      <c r="I179" s="538">
        <v>1304.9141683670837</v>
      </c>
      <c r="J179" s="538">
        <v>-11.583531460056172</v>
      </c>
      <c r="K179" s="538">
        <v>-5.4739757676741085</v>
      </c>
      <c r="L179" s="599">
        <v>4.105093961604263</v>
      </c>
      <c r="M179" s="538">
        <v>7.1170401035891229E-2</v>
      </c>
      <c r="N179" s="538">
        <v>2.5652026670245219E-3</v>
      </c>
      <c r="O179" s="538">
        <v>0.4240242897034478</v>
      </c>
      <c r="P179" s="538">
        <v>0.38738688236857016</v>
      </c>
      <c r="Q179" s="538">
        <v>0.45108597618047253</v>
      </c>
      <c r="R179" s="538">
        <v>0.41557096814360467</v>
      </c>
      <c r="S179" s="538">
        <v>0.43215917643761542</v>
      </c>
      <c r="T179" s="538">
        <v>0.43244556992374283</v>
      </c>
      <c r="U179" s="538">
        <v>0.41782737812710086</v>
      </c>
      <c r="V179" s="538">
        <v>0.44987294339073336</v>
      </c>
      <c r="W179" s="538">
        <v>0.39895841579518093</v>
      </c>
      <c r="X179" s="538">
        <v>0.44827142794291264</v>
      </c>
      <c r="Y179" s="538">
        <v>0.40197776478439018</v>
      </c>
      <c r="Z179" s="538">
        <v>0.42259373782325393</v>
      </c>
      <c r="AA179" s="538"/>
      <c r="AB179" s="538">
        <v>0.22039736352469122</v>
      </c>
      <c r="AC179" s="538">
        <v>0.19136639762298374</v>
      </c>
      <c r="AD179" s="538">
        <v>0.18545687594011875</v>
      </c>
      <c r="AE179" s="538">
        <v>0.19696784682345242</v>
      </c>
      <c r="AF179" s="538">
        <v>0.20073868424726632</v>
      </c>
      <c r="AG179" s="538">
        <v>0.18033858605437719</v>
      </c>
      <c r="AH179" s="538">
        <v>0.21749987859729789</v>
      </c>
      <c r="AI179" s="538">
        <v>0.18464032089098953</v>
      </c>
      <c r="AJ179" s="538">
        <v>0.21280579446982198</v>
      </c>
      <c r="AK179" s="538">
        <v>0.18437519667141183</v>
      </c>
      <c r="AL179" s="538">
        <v>0.21521244355554311</v>
      </c>
      <c r="AM179" s="18">
        <v>0.21956313668533214</v>
      </c>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row>
    <row r="180" spans="1:101">
      <c r="A180" t="s">
        <v>555</v>
      </c>
      <c r="C180" s="538">
        <v>3.0449198475183858</v>
      </c>
      <c r="D180" s="538">
        <v>0.3776042842716732</v>
      </c>
      <c r="E180" s="538">
        <v>7.5520856854334642E-2</v>
      </c>
      <c r="F180" s="538">
        <v>0.45312514112600782</v>
      </c>
      <c r="G180" s="538">
        <v>0.57739439019193894</v>
      </c>
      <c r="H180" s="538">
        <v>1.9915303963366913</v>
      </c>
      <c r="I180" s="538">
        <v>1303.6061489430915</v>
      </c>
      <c r="J180" s="538">
        <v>-2.1522528767372697</v>
      </c>
      <c r="K180" s="538">
        <v>3.9511787212703759</v>
      </c>
      <c r="L180" s="599">
        <v>3.4491682464643647</v>
      </c>
      <c r="M180" s="538">
        <v>2.8927027493569818E-2</v>
      </c>
      <c r="N180" s="538">
        <v>5.3639795134547634E-4</v>
      </c>
      <c r="O180" s="538">
        <v>0.18333752840942297</v>
      </c>
      <c r="P180" s="538">
        <v>0.16592347912039981</v>
      </c>
      <c r="Q180" s="538">
        <v>0.19318449776440541</v>
      </c>
      <c r="R180" s="538">
        <v>0.17964715016625954</v>
      </c>
      <c r="S180" s="538">
        <v>0.18375050207065927</v>
      </c>
      <c r="T180" s="538">
        <v>0.17941070895254463</v>
      </c>
      <c r="U180" s="538">
        <v>0.17064381902397849</v>
      </c>
      <c r="V180" s="538">
        <v>0.18319961533139134</v>
      </c>
      <c r="W180" s="538">
        <v>0.16864684499917862</v>
      </c>
      <c r="X180" s="538">
        <v>0.19135806705873457</v>
      </c>
      <c r="Y180" s="538">
        <v>0.17084650189576633</v>
      </c>
      <c r="Z180" s="538">
        <v>0.18096578199425445</v>
      </c>
      <c r="AA180" s="538"/>
      <c r="AB180" s="538">
        <v>8.242895176955245E-2</v>
      </c>
      <c r="AC180" s="538">
        <v>7.1539897335657465E-2</v>
      </c>
      <c r="AD180" s="538">
        <v>7.0164469329157875E-2</v>
      </c>
      <c r="AE180" s="538">
        <v>7.2869417745288489E-2</v>
      </c>
      <c r="AF180" s="538">
        <v>7.3539717357862924E-2</v>
      </c>
      <c r="AG180" s="538">
        <v>6.7101501624347415E-2</v>
      </c>
      <c r="AH180" s="538">
        <v>7.8776395419651382E-2</v>
      </c>
      <c r="AI180" s="538">
        <v>6.7750749859474282E-2</v>
      </c>
      <c r="AJ180" s="538">
        <v>7.8993309965400327E-2</v>
      </c>
      <c r="AK180" s="538">
        <v>6.856373206961057E-2</v>
      </c>
      <c r="AL180" s="538">
        <v>8.0102996826257503E-2</v>
      </c>
      <c r="AM180" s="18">
        <v>8.2174211429129451E-2</v>
      </c>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row>
    <row r="181" spans="1:101">
      <c r="A181" t="s">
        <v>562</v>
      </c>
      <c r="C181" s="538">
        <v>3.0449198475183858</v>
      </c>
      <c r="D181" s="538">
        <v>0.3776042842716732</v>
      </c>
      <c r="E181" s="538">
        <v>7.5520856854334642E-2</v>
      </c>
      <c r="F181" s="538">
        <v>0.45312514112600782</v>
      </c>
      <c r="G181" s="538">
        <v>0.57739439019193894</v>
      </c>
      <c r="H181" s="538">
        <v>1.9915303963366913</v>
      </c>
      <c r="I181" s="538">
        <v>1303.6061489430915</v>
      </c>
      <c r="J181" s="538">
        <v>-2.1522528767372697</v>
      </c>
      <c r="K181" s="538">
        <v>3.9511787212703759</v>
      </c>
      <c r="L181" s="599">
        <v>3.4491682464643647</v>
      </c>
      <c r="M181" s="538">
        <v>2.8927027493569818E-2</v>
      </c>
      <c r="N181" s="538">
        <v>5.3639795134547634E-4</v>
      </c>
      <c r="O181" s="538">
        <v>0.18333752840942297</v>
      </c>
      <c r="P181" s="538">
        <v>0.16592347912039981</v>
      </c>
      <c r="Q181" s="538">
        <v>0.19318449776440541</v>
      </c>
      <c r="R181" s="538">
        <v>0.17964715016625954</v>
      </c>
      <c r="S181" s="538">
        <v>0.18375050207065927</v>
      </c>
      <c r="T181" s="538">
        <v>0.17941070895254463</v>
      </c>
      <c r="U181" s="538">
        <v>0.17064381902397849</v>
      </c>
      <c r="V181" s="538">
        <v>0.18319961533139134</v>
      </c>
      <c r="W181" s="538">
        <v>0.16864684499917862</v>
      </c>
      <c r="X181" s="538">
        <v>0.19135806705873457</v>
      </c>
      <c r="Y181" s="538">
        <v>0.17084650189576633</v>
      </c>
      <c r="Z181" s="538">
        <v>0.18096578199425445</v>
      </c>
      <c r="AA181" s="538"/>
      <c r="AB181" s="538">
        <v>8.242895176955245E-2</v>
      </c>
      <c r="AC181" s="538">
        <v>7.1539897335657465E-2</v>
      </c>
      <c r="AD181" s="538">
        <v>7.0164469329157875E-2</v>
      </c>
      <c r="AE181" s="538">
        <v>7.2869417745288489E-2</v>
      </c>
      <c r="AF181" s="538">
        <v>7.3539717357862924E-2</v>
      </c>
      <c r="AG181" s="538">
        <v>6.7101501624347415E-2</v>
      </c>
      <c r="AH181" s="538">
        <v>7.8776395419651382E-2</v>
      </c>
      <c r="AI181" s="538">
        <v>6.7750749859474282E-2</v>
      </c>
      <c r="AJ181" s="538">
        <v>7.8993309965400327E-2</v>
      </c>
      <c r="AK181" s="538">
        <v>6.856373206961057E-2</v>
      </c>
      <c r="AL181" s="538">
        <v>8.0102996826257503E-2</v>
      </c>
      <c r="AM181" s="18">
        <v>8.2174211429129451E-2</v>
      </c>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row>
    <row r="182" spans="1:101">
      <c r="A182" t="s">
        <v>569</v>
      </c>
      <c r="C182" s="538">
        <v>3.0449198475183858</v>
      </c>
      <c r="D182" s="538">
        <v>0.3776042842716732</v>
      </c>
      <c r="E182" s="538">
        <v>7.5520856854334642E-2</v>
      </c>
      <c r="F182" s="538">
        <v>0.45312514112600782</v>
      </c>
      <c r="G182" s="538">
        <v>0.57739439019193894</v>
      </c>
      <c r="H182" s="538">
        <v>1.9915303963366913</v>
      </c>
      <c r="I182" s="538">
        <v>1303.6061489430915</v>
      </c>
      <c r="J182" s="538">
        <v>-2.1522528767372697</v>
      </c>
      <c r="K182" s="538">
        <v>3.9511787212703759</v>
      </c>
      <c r="L182" s="599">
        <v>3.4491682464643647</v>
      </c>
      <c r="M182" s="538">
        <v>2.8927027493569818E-2</v>
      </c>
      <c r="N182" s="538">
        <v>5.3639795134547634E-4</v>
      </c>
      <c r="O182" s="538">
        <v>0.18333752840942297</v>
      </c>
      <c r="P182" s="538">
        <v>0.16592347912039981</v>
      </c>
      <c r="Q182" s="538">
        <v>0.19318449776440541</v>
      </c>
      <c r="R182" s="538">
        <v>0.17964715016625954</v>
      </c>
      <c r="S182" s="538">
        <v>0.18375050207065927</v>
      </c>
      <c r="T182" s="538">
        <v>0.17941070895254463</v>
      </c>
      <c r="U182" s="538">
        <v>0.17064381902397849</v>
      </c>
      <c r="V182" s="538">
        <v>0.18319961533139134</v>
      </c>
      <c r="W182" s="538">
        <v>0.16864684499917862</v>
      </c>
      <c r="X182" s="538">
        <v>0.19135806705873457</v>
      </c>
      <c r="Y182" s="538">
        <v>0.17084650189576633</v>
      </c>
      <c r="Z182" s="538">
        <v>0.18096578199425445</v>
      </c>
      <c r="AA182" s="538"/>
      <c r="AB182" s="538">
        <v>8.242895176955245E-2</v>
      </c>
      <c r="AC182" s="538">
        <v>7.1539897335657465E-2</v>
      </c>
      <c r="AD182" s="538">
        <v>7.0164469329157875E-2</v>
      </c>
      <c r="AE182" s="538">
        <v>7.2869417745288489E-2</v>
      </c>
      <c r="AF182" s="538">
        <v>7.3539717357862924E-2</v>
      </c>
      <c r="AG182" s="538">
        <v>6.7101501624347415E-2</v>
      </c>
      <c r="AH182" s="538">
        <v>7.8776395419651382E-2</v>
      </c>
      <c r="AI182" s="538">
        <v>6.7750749859474282E-2</v>
      </c>
      <c r="AJ182" s="538">
        <v>7.8993309965400327E-2</v>
      </c>
      <c r="AK182" s="538">
        <v>6.856373206961057E-2</v>
      </c>
      <c r="AL182" s="538">
        <v>8.0102996826257503E-2</v>
      </c>
      <c r="AM182" s="18">
        <v>8.2174211429129451E-2</v>
      </c>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row>
    <row r="183" spans="1:101">
      <c r="A183" t="s">
        <v>576</v>
      </c>
      <c r="C183" s="538">
        <v>3.0449198475183858</v>
      </c>
      <c r="D183" s="538">
        <v>0.3776042842716732</v>
      </c>
      <c r="E183" s="538">
        <v>7.5520856854334642E-2</v>
      </c>
      <c r="F183" s="538">
        <v>0.45312514112600782</v>
      </c>
      <c r="G183" s="538">
        <v>0.57739439019193894</v>
      </c>
      <c r="H183" s="538">
        <v>1.9915303963366913</v>
      </c>
      <c r="I183" s="538">
        <v>1303.6061489430915</v>
      </c>
      <c r="J183" s="538">
        <v>-2.1522528767372697</v>
      </c>
      <c r="K183" s="538">
        <v>3.9511787212703759</v>
      </c>
      <c r="L183" s="599">
        <v>3.4491682464643647</v>
      </c>
      <c r="M183" s="538">
        <v>2.8927027493569818E-2</v>
      </c>
      <c r="N183" s="538">
        <v>5.3639795134547634E-4</v>
      </c>
      <c r="O183" s="538">
        <v>0.18333752840942297</v>
      </c>
      <c r="P183" s="538">
        <v>0.16592347912039981</v>
      </c>
      <c r="Q183" s="538">
        <v>0.19318449776440541</v>
      </c>
      <c r="R183" s="538">
        <v>0.17964715016625954</v>
      </c>
      <c r="S183" s="538">
        <v>0.18375050207065927</v>
      </c>
      <c r="T183" s="538">
        <v>0.17941070895254463</v>
      </c>
      <c r="U183" s="538">
        <v>0.17064381902397849</v>
      </c>
      <c r="V183" s="538">
        <v>0.18319961533139134</v>
      </c>
      <c r="W183" s="538">
        <v>0.16864684499917862</v>
      </c>
      <c r="X183" s="538">
        <v>0.19135806705873457</v>
      </c>
      <c r="Y183" s="538">
        <v>0.17084650189576633</v>
      </c>
      <c r="Z183" s="538">
        <v>0.18096578199425445</v>
      </c>
      <c r="AA183" s="538"/>
      <c r="AB183" s="538">
        <v>8.242895176955245E-2</v>
      </c>
      <c r="AC183" s="538">
        <v>7.1539897335657465E-2</v>
      </c>
      <c r="AD183" s="538">
        <v>7.0164469329157875E-2</v>
      </c>
      <c r="AE183" s="538">
        <v>7.2869417745288489E-2</v>
      </c>
      <c r="AF183" s="538">
        <v>7.3539717357862924E-2</v>
      </c>
      <c r="AG183" s="538">
        <v>6.7101501624347415E-2</v>
      </c>
      <c r="AH183" s="538">
        <v>7.8776395419651382E-2</v>
      </c>
      <c r="AI183" s="538">
        <v>6.7750749859474282E-2</v>
      </c>
      <c r="AJ183" s="538">
        <v>7.8993309965400327E-2</v>
      </c>
      <c r="AK183" s="538">
        <v>6.856373206961057E-2</v>
      </c>
      <c r="AL183" s="538">
        <v>8.0102996826257503E-2</v>
      </c>
      <c r="AM183" s="18">
        <v>8.2174211429129451E-2</v>
      </c>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row>
    <row r="184" spans="1:101">
      <c r="A184" t="s">
        <v>551</v>
      </c>
      <c r="C184" s="538">
        <v>0.56446323784331998</v>
      </c>
      <c r="D184" s="538">
        <v>7.3963740963958288E-2</v>
      </c>
      <c r="E184" s="538">
        <v>1.4792748192791659E-2</v>
      </c>
      <c r="F184" s="538">
        <v>8.875648915674994E-2</v>
      </c>
      <c r="G184" s="538">
        <v>0.11309789345364937</v>
      </c>
      <c r="H184" s="538">
        <v>0.36918728638974868</v>
      </c>
      <c r="I184" s="538">
        <v>1377.4268949450077</v>
      </c>
      <c r="J184" s="538">
        <v>-1.7077481201121316</v>
      </c>
      <c r="K184" s="538">
        <v>4.7413092438539524</v>
      </c>
      <c r="L184" s="599">
        <v>3.2643162053327881</v>
      </c>
      <c r="M184" s="538">
        <v>5.3624543232264994E-3</v>
      </c>
      <c r="N184" s="538">
        <v>9.9436746959285252E-5</v>
      </c>
      <c r="O184" s="538">
        <v>3.3986869962608982E-2</v>
      </c>
      <c r="P184" s="538">
        <v>3.0758676401567858E-2</v>
      </c>
      <c r="Q184" s="538">
        <v>3.581228819474646E-2</v>
      </c>
      <c r="R184" s="538">
        <v>3.3302752496035835E-2</v>
      </c>
      <c r="S184" s="538">
        <v>3.406342647694726E-2</v>
      </c>
      <c r="T184" s="538">
        <v>3.3258921334712525E-2</v>
      </c>
      <c r="U184" s="538">
        <v>3.1633726806545373E-2</v>
      </c>
      <c r="V184" s="538">
        <v>3.3961303817532908E-2</v>
      </c>
      <c r="W184" s="538">
        <v>3.1263530387468458E-2</v>
      </c>
      <c r="X184" s="538">
        <v>3.5473706871937703E-2</v>
      </c>
      <c r="Y184" s="538">
        <v>3.1671299890828036E-2</v>
      </c>
      <c r="Z184" s="538">
        <v>3.3547198730559835E-2</v>
      </c>
      <c r="AA184" s="538"/>
      <c r="AB184" s="538">
        <v>1.5280570700668168E-2</v>
      </c>
      <c r="AC184" s="538">
        <v>1.3261972106745276E-2</v>
      </c>
      <c r="AD184" s="538">
        <v>1.3006997071326236E-2</v>
      </c>
      <c r="AE184" s="538">
        <v>1.3508436852216569E-2</v>
      </c>
      <c r="AF184" s="538">
        <v>1.3632696113079297E-2</v>
      </c>
      <c r="AG184" s="538">
        <v>1.2439188145427604E-2</v>
      </c>
      <c r="AH184" s="538">
        <v>1.4603464606939412E-2</v>
      </c>
      <c r="AI184" s="538">
        <v>1.2559544929617654E-2</v>
      </c>
      <c r="AJ184" s="538">
        <v>1.4643675940229039E-2</v>
      </c>
      <c r="AK184" s="538">
        <v>1.2710254502815961E-2</v>
      </c>
      <c r="AL184" s="538">
        <v>1.4849388231467881E-2</v>
      </c>
      <c r="AM184" s="18">
        <v>1.5233347271295581E-2</v>
      </c>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row>
    <row r="185" spans="1:101">
      <c r="A185" t="s">
        <v>558</v>
      </c>
      <c r="C185" s="538">
        <v>0.56446323784331998</v>
      </c>
      <c r="D185" s="538">
        <v>7.3963740963958288E-2</v>
      </c>
      <c r="E185" s="538">
        <v>1.4792748192791659E-2</v>
      </c>
      <c r="F185" s="538">
        <v>8.875648915674994E-2</v>
      </c>
      <c r="G185" s="538">
        <v>0.11309789345364937</v>
      </c>
      <c r="H185" s="538">
        <v>0.36918728638974868</v>
      </c>
      <c r="I185" s="538">
        <v>1377.4268949450077</v>
      </c>
      <c r="J185" s="538">
        <v>-1.7077481201121316</v>
      </c>
      <c r="K185" s="538">
        <v>4.7413092438539524</v>
      </c>
      <c r="L185" s="599">
        <v>3.2643162053327881</v>
      </c>
      <c r="M185" s="538">
        <v>5.3624543232264994E-3</v>
      </c>
      <c r="N185" s="538">
        <v>9.9436746959285252E-5</v>
      </c>
      <c r="O185" s="538">
        <v>3.3986869962608982E-2</v>
      </c>
      <c r="P185" s="538">
        <v>3.0758676401567858E-2</v>
      </c>
      <c r="Q185" s="538">
        <v>3.581228819474646E-2</v>
      </c>
      <c r="R185" s="538">
        <v>3.3302752496035835E-2</v>
      </c>
      <c r="S185" s="538">
        <v>3.406342647694726E-2</v>
      </c>
      <c r="T185" s="538">
        <v>3.3258921334712525E-2</v>
      </c>
      <c r="U185" s="538">
        <v>3.1633726806545373E-2</v>
      </c>
      <c r="V185" s="538">
        <v>3.3961303817532908E-2</v>
      </c>
      <c r="W185" s="538">
        <v>3.1263530387468458E-2</v>
      </c>
      <c r="X185" s="538">
        <v>3.5473706871937703E-2</v>
      </c>
      <c r="Y185" s="538">
        <v>3.1671299890828036E-2</v>
      </c>
      <c r="Z185" s="538">
        <v>3.3547198730559835E-2</v>
      </c>
      <c r="AA185" s="538"/>
      <c r="AB185" s="538">
        <v>1.5280570700668168E-2</v>
      </c>
      <c r="AC185" s="538">
        <v>1.3261972106745276E-2</v>
      </c>
      <c r="AD185" s="538">
        <v>1.3006997071326236E-2</v>
      </c>
      <c r="AE185" s="538">
        <v>1.3508436852216569E-2</v>
      </c>
      <c r="AF185" s="538">
        <v>1.3632696113079297E-2</v>
      </c>
      <c r="AG185" s="538">
        <v>1.2439188145427604E-2</v>
      </c>
      <c r="AH185" s="538">
        <v>1.4603464606939412E-2</v>
      </c>
      <c r="AI185" s="538">
        <v>1.2559544929617654E-2</v>
      </c>
      <c r="AJ185" s="538">
        <v>1.4643675940229039E-2</v>
      </c>
      <c r="AK185" s="538">
        <v>1.2710254502815961E-2</v>
      </c>
      <c r="AL185" s="538">
        <v>1.4849388231467881E-2</v>
      </c>
      <c r="AM185" s="18">
        <v>1.5233347271295581E-2</v>
      </c>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row>
    <row r="186" spans="1:101">
      <c r="A186" t="s">
        <v>565</v>
      </c>
      <c r="C186" s="538">
        <v>0.56446323784331998</v>
      </c>
      <c r="D186" s="538">
        <v>7.3963740963958288E-2</v>
      </c>
      <c r="E186" s="538">
        <v>1.4792748192791659E-2</v>
      </c>
      <c r="F186" s="538">
        <v>8.875648915674994E-2</v>
      </c>
      <c r="G186" s="538">
        <v>0.11309789345364937</v>
      </c>
      <c r="H186" s="538">
        <v>0.36918728638974868</v>
      </c>
      <c r="I186" s="538">
        <v>1377.4268949450077</v>
      </c>
      <c r="J186" s="538">
        <v>-1.7077481201121316</v>
      </c>
      <c r="K186" s="538">
        <v>4.7413092438539524</v>
      </c>
      <c r="L186" s="599">
        <v>3.2643162053327881</v>
      </c>
      <c r="M186" s="538">
        <v>5.3624543232264994E-3</v>
      </c>
      <c r="N186" s="538">
        <v>9.9436746959285252E-5</v>
      </c>
      <c r="O186" s="538">
        <v>3.3986869962608982E-2</v>
      </c>
      <c r="P186" s="538">
        <v>3.0758676401567858E-2</v>
      </c>
      <c r="Q186" s="538">
        <v>3.581228819474646E-2</v>
      </c>
      <c r="R186" s="538">
        <v>3.3302752496035835E-2</v>
      </c>
      <c r="S186" s="538">
        <v>3.406342647694726E-2</v>
      </c>
      <c r="T186" s="538">
        <v>3.3258921334712525E-2</v>
      </c>
      <c r="U186" s="538">
        <v>3.1633726806545373E-2</v>
      </c>
      <c r="V186" s="538">
        <v>3.3961303817532908E-2</v>
      </c>
      <c r="W186" s="538">
        <v>3.1263530387468458E-2</v>
      </c>
      <c r="X186" s="538">
        <v>3.5473706871937703E-2</v>
      </c>
      <c r="Y186" s="538">
        <v>3.1671299890828036E-2</v>
      </c>
      <c r="Z186" s="538">
        <v>3.3547198730559835E-2</v>
      </c>
      <c r="AA186" s="538"/>
      <c r="AB186" s="538">
        <v>1.5280570700668168E-2</v>
      </c>
      <c r="AC186" s="538">
        <v>1.3261972106745276E-2</v>
      </c>
      <c r="AD186" s="538">
        <v>1.3006997071326236E-2</v>
      </c>
      <c r="AE186" s="538">
        <v>1.3508436852216569E-2</v>
      </c>
      <c r="AF186" s="538">
        <v>1.3632696113079297E-2</v>
      </c>
      <c r="AG186" s="538">
        <v>1.2439188145427604E-2</v>
      </c>
      <c r="AH186" s="538">
        <v>1.4603464606939412E-2</v>
      </c>
      <c r="AI186" s="538">
        <v>1.2559544929617654E-2</v>
      </c>
      <c r="AJ186" s="538">
        <v>1.4643675940229039E-2</v>
      </c>
      <c r="AK186" s="538">
        <v>1.2710254502815961E-2</v>
      </c>
      <c r="AL186" s="538">
        <v>1.4849388231467881E-2</v>
      </c>
      <c r="AM186" s="18">
        <v>1.5233347271295581E-2</v>
      </c>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row>
    <row r="187" spans="1:101">
      <c r="A187" t="s">
        <v>572</v>
      </c>
      <c r="C187" s="538">
        <v>0.56446323784331998</v>
      </c>
      <c r="D187" s="538">
        <v>7.3963740963958288E-2</v>
      </c>
      <c r="E187" s="538">
        <v>1.4792748192791659E-2</v>
      </c>
      <c r="F187" s="538">
        <v>8.875648915674994E-2</v>
      </c>
      <c r="G187" s="538">
        <v>0.11309789345364937</v>
      </c>
      <c r="H187" s="538">
        <v>0.36918728638974868</v>
      </c>
      <c r="I187" s="538">
        <v>1377.4268949450077</v>
      </c>
      <c r="J187" s="538">
        <v>-1.7077481201121316</v>
      </c>
      <c r="K187" s="538">
        <v>4.7413092438539524</v>
      </c>
      <c r="L187" s="599">
        <v>3.2643162053327881</v>
      </c>
      <c r="M187" s="538">
        <v>5.3624543232264994E-3</v>
      </c>
      <c r="N187" s="538">
        <v>9.9436746959285252E-5</v>
      </c>
      <c r="O187" s="538">
        <v>3.3986869962608982E-2</v>
      </c>
      <c r="P187" s="538">
        <v>3.0758676401567858E-2</v>
      </c>
      <c r="Q187" s="538">
        <v>3.581228819474646E-2</v>
      </c>
      <c r="R187" s="538">
        <v>3.3302752496035835E-2</v>
      </c>
      <c r="S187" s="538">
        <v>3.406342647694726E-2</v>
      </c>
      <c r="T187" s="538">
        <v>3.3258921334712525E-2</v>
      </c>
      <c r="U187" s="538">
        <v>3.1633726806545373E-2</v>
      </c>
      <c r="V187" s="538">
        <v>3.3961303817532908E-2</v>
      </c>
      <c r="W187" s="538">
        <v>3.1263530387468458E-2</v>
      </c>
      <c r="X187" s="538">
        <v>3.5473706871937703E-2</v>
      </c>
      <c r="Y187" s="538">
        <v>3.1671299890828036E-2</v>
      </c>
      <c r="Z187" s="538">
        <v>3.3547198730559835E-2</v>
      </c>
      <c r="AA187" s="538"/>
      <c r="AB187" s="538">
        <v>1.5280570700668168E-2</v>
      </c>
      <c r="AC187" s="538">
        <v>1.3261972106745276E-2</v>
      </c>
      <c r="AD187" s="538">
        <v>1.3006997071326236E-2</v>
      </c>
      <c r="AE187" s="538">
        <v>1.3508436852216569E-2</v>
      </c>
      <c r="AF187" s="538">
        <v>1.3632696113079297E-2</v>
      </c>
      <c r="AG187" s="538">
        <v>1.2439188145427604E-2</v>
      </c>
      <c r="AH187" s="538">
        <v>1.4603464606939412E-2</v>
      </c>
      <c r="AI187" s="538">
        <v>1.2559544929617654E-2</v>
      </c>
      <c r="AJ187" s="538">
        <v>1.4643675940229039E-2</v>
      </c>
      <c r="AK187" s="538">
        <v>1.2710254502815961E-2</v>
      </c>
      <c r="AL187" s="538">
        <v>1.4849388231467881E-2</v>
      </c>
      <c r="AM187" s="18">
        <v>1.5233347271295581E-2</v>
      </c>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c r="CM187" s="18"/>
      <c r="CN187" s="18"/>
      <c r="CO187" s="18"/>
      <c r="CP187" s="18"/>
      <c r="CQ187" s="18"/>
      <c r="CR187" s="18"/>
      <c r="CS187" s="18"/>
      <c r="CT187" s="18"/>
      <c r="CU187" s="18"/>
      <c r="CV187" s="18"/>
      <c r="CW187" s="18"/>
    </row>
    <row r="188" spans="1:101">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row>
  </sheetData>
  <mergeCells count="2">
    <mergeCell ref="I6:N6"/>
    <mergeCell ref="O6:P6"/>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sheetPr codeName="Sheet6"/>
  <dimension ref="A1:DA6091"/>
  <sheetViews>
    <sheetView topLeftCell="B1" zoomScale="115" zoomScaleNormal="115" workbookViewId="0">
      <selection activeCell="E8" sqref="E8"/>
    </sheetView>
  </sheetViews>
  <sheetFormatPr defaultColWidth="8.7109375" defaultRowHeight="12.75"/>
  <cols>
    <col min="1" max="1" width="72.28515625" style="29" customWidth="1"/>
    <col min="2" max="2" width="48.42578125" style="29" customWidth="1"/>
    <col min="3" max="3" width="11" style="29" customWidth="1"/>
    <col min="4" max="4" width="8.5703125" style="29" customWidth="1"/>
    <col min="5" max="5" width="8.42578125" style="29" customWidth="1"/>
    <col min="6" max="6" width="9" style="29" customWidth="1"/>
    <col min="7" max="7" width="17.5703125" style="29" customWidth="1"/>
    <col min="8" max="8" width="8.42578125" style="29" customWidth="1"/>
    <col min="9" max="9" width="13.7109375" style="32" customWidth="1"/>
    <col min="10" max="10" width="15.5703125" style="32" customWidth="1"/>
    <col min="11" max="11" width="11.7109375" style="32" customWidth="1"/>
    <col min="12" max="13" width="8.42578125" style="32" customWidth="1"/>
    <col min="14" max="15" width="8.42578125" style="33" customWidth="1"/>
    <col min="16" max="16" width="9.140625" style="33" customWidth="1"/>
    <col min="17" max="18" width="8.42578125" style="33" customWidth="1"/>
    <col min="19" max="21" width="8.42578125" style="29" customWidth="1"/>
    <col min="22" max="22" width="8.42578125" style="33" customWidth="1"/>
    <col min="23" max="23" width="8.85546875" style="33" customWidth="1"/>
    <col min="24" max="25" width="8.42578125" style="28" customWidth="1"/>
    <col min="26" max="16384" width="8.7109375" style="29"/>
  </cols>
  <sheetData>
    <row r="1" spans="1:105" s="23" customFormat="1">
      <c r="A1" s="6" t="s">
        <v>254</v>
      </c>
      <c r="B1" s="7"/>
      <c r="C1" s="7"/>
      <c r="D1" s="7"/>
      <c r="E1" s="7"/>
      <c r="F1" s="7"/>
      <c r="G1" s="7"/>
      <c r="H1" s="7"/>
      <c r="I1" s="8"/>
      <c r="J1" s="8"/>
      <c r="K1" s="8"/>
      <c r="L1" s="8"/>
      <c r="M1" s="8"/>
      <c r="N1" s="9"/>
      <c r="O1" s="9"/>
      <c r="P1" s="9"/>
      <c r="Q1" s="9"/>
      <c r="R1" s="9"/>
      <c r="S1" s="7"/>
      <c r="T1" s="7"/>
      <c r="U1" s="7"/>
      <c r="V1" s="9"/>
      <c r="W1" s="7"/>
      <c r="X1" s="7"/>
      <c r="Y1" s="7"/>
      <c r="Z1" s="7"/>
      <c r="AA1" s="7"/>
      <c r="AB1" s="7"/>
      <c r="AC1" s="7"/>
      <c r="AD1" s="7"/>
      <c r="AE1" s="7"/>
      <c r="AF1" s="7"/>
      <c r="AG1" s="7"/>
      <c r="AH1" s="7"/>
      <c r="AI1" s="7"/>
      <c r="AJ1" s="7"/>
      <c r="AK1" s="7"/>
      <c r="AL1" s="7"/>
      <c r="AM1" s="7"/>
      <c r="AN1" s="7"/>
      <c r="AO1" s="7"/>
      <c r="AP1" s="20"/>
      <c r="AQ1" s="7"/>
      <c r="AR1" s="7"/>
      <c r="AS1" s="7"/>
      <c r="AT1" s="7"/>
      <c r="AU1" s="7"/>
      <c r="AV1" s="20"/>
      <c r="AW1" s="7"/>
      <c r="AX1" s="7"/>
      <c r="AY1" s="7"/>
      <c r="AZ1" s="7"/>
      <c r="BA1" s="7"/>
      <c r="BB1" s="7"/>
      <c r="BC1" s="7"/>
      <c r="BD1" s="7"/>
      <c r="BE1" s="7"/>
      <c r="BF1" s="7"/>
      <c r="BG1" s="7"/>
      <c r="BH1" s="7"/>
      <c r="BI1" s="7"/>
      <c r="BJ1" s="7"/>
      <c r="BK1" s="7"/>
      <c r="BL1" s="7"/>
      <c r="BM1" s="19"/>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20"/>
      <c r="CQ1" s="7"/>
      <c r="CR1" s="7"/>
      <c r="CS1" s="7"/>
      <c r="CT1" s="7"/>
      <c r="CU1" s="7"/>
      <c r="CV1" s="7"/>
      <c r="CW1" s="7"/>
      <c r="CX1" s="7"/>
      <c r="CY1" s="7"/>
      <c r="CZ1" s="7"/>
      <c r="DA1" s="7"/>
    </row>
    <row r="2" spans="1:105" s="23" customFormat="1">
      <c r="A2" s="17" t="s">
        <v>165</v>
      </c>
      <c r="B2" s="7"/>
      <c r="C2" s="7"/>
      <c r="D2" s="7"/>
      <c r="E2" s="7"/>
      <c r="F2" s="7"/>
      <c r="G2" s="7"/>
      <c r="H2" s="7"/>
      <c r="I2" s="8"/>
      <c r="J2" s="8"/>
      <c r="K2" s="8"/>
      <c r="L2" s="8"/>
      <c r="M2" s="8"/>
      <c r="N2" s="9"/>
      <c r="O2" s="9"/>
      <c r="P2" s="9"/>
      <c r="Q2" s="9"/>
      <c r="R2" s="9"/>
      <c r="S2" s="7"/>
      <c r="T2" s="7"/>
      <c r="U2" s="7"/>
      <c r="V2" s="9"/>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20"/>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row>
    <row r="3" spans="1:105" s="23" customFormat="1">
      <c r="A3" s="17" t="s">
        <v>241</v>
      </c>
      <c r="C3" s="17">
        <v>2012</v>
      </c>
      <c r="J3" s="24"/>
      <c r="K3" s="25"/>
      <c r="CO3" s="25"/>
      <c r="CP3" s="25"/>
    </row>
    <row r="4" spans="1:105" s="23" customFormat="1"/>
    <row r="5" spans="1:105" s="23" customFormat="1">
      <c r="A5" s="10">
        <v>1</v>
      </c>
      <c r="B5" s="10">
        <v>2</v>
      </c>
      <c r="C5" s="10">
        <v>3</v>
      </c>
      <c r="D5" s="10">
        <v>4</v>
      </c>
      <c r="E5" s="10">
        <v>5</v>
      </c>
      <c r="F5" s="10">
        <v>6</v>
      </c>
      <c r="G5" s="10">
        <v>7</v>
      </c>
      <c r="H5" s="10">
        <v>8</v>
      </c>
      <c r="I5" s="10">
        <v>9</v>
      </c>
      <c r="J5" s="10">
        <v>10</v>
      </c>
      <c r="K5" s="10">
        <v>11</v>
      </c>
      <c r="L5" s="10">
        <v>12</v>
      </c>
      <c r="M5" s="10">
        <v>13</v>
      </c>
      <c r="N5" s="10">
        <v>14</v>
      </c>
      <c r="O5" s="10">
        <v>15</v>
      </c>
      <c r="P5" s="10">
        <v>16</v>
      </c>
      <c r="Q5" s="10">
        <v>17</v>
      </c>
      <c r="R5" s="10">
        <v>18</v>
      </c>
      <c r="S5" s="10">
        <v>19</v>
      </c>
      <c r="T5" s="10">
        <v>20</v>
      </c>
      <c r="U5" s="10">
        <v>21</v>
      </c>
      <c r="V5" s="10">
        <v>22</v>
      </c>
      <c r="W5" s="10">
        <v>23</v>
      </c>
      <c r="X5" s="10">
        <v>24</v>
      </c>
      <c r="Y5" s="10">
        <v>25</v>
      </c>
      <c r="Z5" s="10">
        <v>26</v>
      </c>
      <c r="AA5" s="10">
        <v>27</v>
      </c>
      <c r="AB5" s="10">
        <v>28</v>
      </c>
      <c r="AC5" s="10">
        <v>29</v>
      </c>
      <c r="AD5" s="10">
        <v>30</v>
      </c>
      <c r="AE5" s="10">
        <v>31</v>
      </c>
      <c r="AF5" s="10">
        <v>32</v>
      </c>
      <c r="AG5" s="10">
        <v>33</v>
      </c>
      <c r="AH5" s="10">
        <v>34</v>
      </c>
      <c r="AI5" s="10">
        <v>35</v>
      </c>
      <c r="AJ5" s="10">
        <v>36</v>
      </c>
      <c r="AK5" s="10">
        <v>37</v>
      </c>
      <c r="AL5" s="10">
        <v>38</v>
      </c>
      <c r="AM5" s="10">
        <v>39</v>
      </c>
      <c r="AN5" s="10">
        <v>40</v>
      </c>
      <c r="AO5" s="10">
        <v>41</v>
      </c>
      <c r="AP5" s="10">
        <v>42</v>
      </c>
      <c r="AQ5" s="10">
        <v>43</v>
      </c>
      <c r="AR5" s="10">
        <v>44</v>
      </c>
      <c r="AS5" s="10">
        <v>45</v>
      </c>
      <c r="AT5" s="10">
        <v>46</v>
      </c>
      <c r="AU5" s="10">
        <v>47</v>
      </c>
      <c r="AV5" s="10">
        <v>48</v>
      </c>
      <c r="AW5" s="10">
        <v>49</v>
      </c>
      <c r="AX5" s="10">
        <v>50</v>
      </c>
      <c r="AY5" s="10">
        <v>51</v>
      </c>
      <c r="AZ5" s="10">
        <v>52</v>
      </c>
      <c r="BA5" s="10">
        <v>53</v>
      </c>
      <c r="BB5" s="10">
        <v>54</v>
      </c>
      <c r="BC5" s="10">
        <v>55</v>
      </c>
      <c r="BD5" s="10">
        <v>56</v>
      </c>
      <c r="BE5" s="10">
        <v>57</v>
      </c>
      <c r="BF5" s="10">
        <v>58</v>
      </c>
      <c r="BG5" s="10">
        <v>59</v>
      </c>
      <c r="BH5" s="10">
        <v>60</v>
      </c>
      <c r="BI5" s="10">
        <v>61</v>
      </c>
      <c r="BJ5" s="10">
        <v>62</v>
      </c>
      <c r="BK5" s="10">
        <v>63</v>
      </c>
      <c r="BL5" s="10">
        <v>64</v>
      </c>
      <c r="BM5" s="10">
        <v>65</v>
      </c>
      <c r="BN5" s="10">
        <v>66</v>
      </c>
      <c r="BO5" s="10">
        <v>67</v>
      </c>
      <c r="BP5" s="10">
        <v>68</v>
      </c>
      <c r="BQ5" s="10">
        <v>69</v>
      </c>
      <c r="BR5" s="10">
        <v>70</v>
      </c>
      <c r="BS5" s="10">
        <v>71</v>
      </c>
      <c r="BT5" s="10">
        <v>72</v>
      </c>
      <c r="BU5" s="10">
        <v>73</v>
      </c>
      <c r="BV5" s="10">
        <v>74</v>
      </c>
      <c r="BW5" s="10">
        <v>75</v>
      </c>
      <c r="BX5" s="10">
        <v>76</v>
      </c>
      <c r="BY5" s="10">
        <v>77</v>
      </c>
      <c r="BZ5" s="10">
        <v>78</v>
      </c>
      <c r="CA5" s="10">
        <v>79</v>
      </c>
      <c r="CB5" s="10">
        <v>80</v>
      </c>
      <c r="CC5" s="10">
        <v>81</v>
      </c>
      <c r="CD5" s="10">
        <v>82</v>
      </c>
      <c r="CE5" s="10">
        <v>83</v>
      </c>
      <c r="CF5" s="10">
        <v>84</v>
      </c>
      <c r="CG5" s="10">
        <v>85</v>
      </c>
      <c r="CH5" s="10">
        <v>86</v>
      </c>
      <c r="CI5" s="10">
        <v>87</v>
      </c>
      <c r="CJ5" s="10">
        <v>88</v>
      </c>
      <c r="CK5" s="10">
        <v>89</v>
      </c>
      <c r="CL5" s="10">
        <v>90</v>
      </c>
      <c r="CM5" s="10">
        <v>91</v>
      </c>
      <c r="CN5" s="10">
        <v>92</v>
      </c>
      <c r="CO5" s="10">
        <v>93</v>
      </c>
      <c r="CP5" s="10">
        <v>94</v>
      </c>
      <c r="CQ5" s="10">
        <v>95</v>
      </c>
      <c r="CR5" s="10">
        <v>96</v>
      </c>
      <c r="CS5" s="10">
        <v>97</v>
      </c>
      <c r="CT5" s="10">
        <v>98</v>
      </c>
      <c r="CU5" s="10">
        <v>99</v>
      </c>
      <c r="CV5" s="10">
        <v>100</v>
      </c>
      <c r="CW5" s="10">
        <v>101</v>
      </c>
      <c r="CX5" s="10">
        <v>102</v>
      </c>
      <c r="CY5" s="10">
        <v>103</v>
      </c>
      <c r="CZ5" s="10">
        <v>104</v>
      </c>
      <c r="DA5" s="10">
        <v>105</v>
      </c>
    </row>
    <row r="6" spans="1:105" s="23" customFormat="1">
      <c r="A6" s="2" t="s">
        <v>244</v>
      </c>
      <c r="B6" s="3"/>
      <c r="C6" s="3"/>
      <c r="D6" s="3"/>
      <c r="E6" s="3"/>
      <c r="F6" s="3"/>
      <c r="G6" s="4"/>
      <c r="H6" s="5"/>
      <c r="I6" s="653" t="s">
        <v>242</v>
      </c>
      <c r="J6" s="654"/>
      <c r="K6" s="654"/>
      <c r="L6" s="654"/>
      <c r="M6" s="654"/>
      <c r="N6" s="655"/>
      <c r="O6" s="656" t="s">
        <v>259</v>
      </c>
      <c r="P6" s="657"/>
      <c r="Q6" s="12"/>
      <c r="R6" s="13"/>
      <c r="S6" s="13"/>
      <c r="T6" s="13"/>
      <c r="U6" s="13"/>
      <c r="V6" s="13"/>
      <c r="W6" s="13"/>
      <c r="X6" s="14"/>
      <c r="Y6" s="15"/>
      <c r="Z6" s="13"/>
      <c r="AA6" s="13"/>
      <c r="AB6" s="13"/>
      <c r="AC6" s="13"/>
      <c r="AD6" s="13"/>
      <c r="AE6" s="11"/>
      <c r="AF6" s="11"/>
      <c r="AG6" s="11"/>
      <c r="AH6" s="11"/>
      <c r="AI6" s="11"/>
      <c r="AJ6" s="11"/>
      <c r="AK6" s="11"/>
      <c r="AL6" s="11"/>
      <c r="AM6" s="11"/>
      <c r="AN6" s="11"/>
      <c r="AO6" s="11"/>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row>
    <row r="7" spans="1:105" s="23" customFormat="1" ht="39" thickBot="1">
      <c r="A7" s="26" t="s">
        <v>245</v>
      </c>
      <c r="B7" s="26" t="s">
        <v>246</v>
      </c>
      <c r="C7" s="26" t="s">
        <v>57</v>
      </c>
      <c r="D7" s="26" t="s">
        <v>255</v>
      </c>
      <c r="E7" s="26" t="s">
        <v>256</v>
      </c>
      <c r="F7" s="26" t="s">
        <v>257</v>
      </c>
      <c r="G7" s="21" t="s">
        <v>247</v>
      </c>
      <c r="H7" s="21" t="s">
        <v>258</v>
      </c>
      <c r="I7" s="21" t="s">
        <v>248</v>
      </c>
      <c r="J7" s="21" t="s">
        <v>249</v>
      </c>
      <c r="K7" s="21" t="s">
        <v>250</v>
      </c>
      <c r="L7" s="21" t="s">
        <v>251</v>
      </c>
      <c r="M7" s="21" t="s">
        <v>252</v>
      </c>
      <c r="N7" s="21" t="s">
        <v>253</v>
      </c>
      <c r="O7" s="27" t="s">
        <v>243</v>
      </c>
      <c r="P7" s="21" t="s">
        <v>247</v>
      </c>
      <c r="Q7" s="16"/>
      <c r="R7" s="16"/>
      <c r="S7" s="16"/>
      <c r="T7" s="16"/>
      <c r="U7" s="16"/>
      <c r="V7" s="16"/>
      <c r="W7" s="16"/>
      <c r="X7" s="16"/>
      <c r="Y7" s="16"/>
      <c r="Z7" s="16"/>
      <c r="AA7" s="16"/>
      <c r="AB7" s="16"/>
      <c r="AC7" s="16"/>
      <c r="AD7" s="16"/>
      <c r="AE7" s="11"/>
      <c r="AF7" s="11"/>
      <c r="AG7" s="11"/>
      <c r="AH7" s="11"/>
      <c r="AI7" s="11"/>
      <c r="AJ7" s="11"/>
      <c r="AK7" s="11"/>
      <c r="AL7" s="11"/>
      <c r="AM7" s="11"/>
      <c r="AN7" s="11"/>
      <c r="AO7" s="11"/>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row>
    <row r="8" spans="1:105">
      <c r="A8" s="402" t="str">
        <f>"Install "&amp;B8&amp;" at Free Stall Dairy - Idaho"</f>
        <v>Install VSD - Vacuum Pump at Free Stall Dairy - Idaho</v>
      </c>
      <c r="B8" s="403" t="s">
        <v>137</v>
      </c>
      <c r="C8" s="417">
        <f>'EUI by Equipment Type'!AA53</f>
        <v>6.9735697018533438</v>
      </c>
      <c r="D8" s="404">
        <v>15</v>
      </c>
      <c r="E8" s="405">
        <f>'EUI by Equipment Type'!AB53*GDP_Deflator</f>
        <v>0.92996697553610974</v>
      </c>
      <c r="F8" s="404">
        <v>0</v>
      </c>
      <c r="G8" s="406" t="s">
        <v>91</v>
      </c>
      <c r="H8" s="407"/>
      <c r="I8" s="407"/>
      <c r="J8" s="407"/>
      <c r="K8" s="407"/>
      <c r="L8" s="407"/>
      <c r="M8" s="407"/>
      <c r="N8" s="407"/>
      <c r="O8" s="407"/>
      <c r="P8" s="408"/>
      <c r="Q8" s="28"/>
      <c r="R8" s="28"/>
      <c r="S8" s="28"/>
      <c r="T8" s="28"/>
      <c r="U8" s="28"/>
      <c r="V8" s="28"/>
      <c r="W8" s="28"/>
    </row>
    <row r="9" spans="1:105" s="28" customFormat="1" ht="13.35" customHeight="1">
      <c r="A9" s="409" t="str">
        <f>"Install "&amp;B9&amp;" at Free Stall Dairy - Idaho"</f>
        <v>Install Plate Milk Pre-cooler at Free Stall Dairy - Idaho</v>
      </c>
      <c r="B9" s="30" t="s">
        <v>138</v>
      </c>
      <c r="C9" s="392">
        <f>'EUI by Equipment Type'!AG53</f>
        <v>3.8581788879935535</v>
      </c>
      <c r="D9" s="31">
        <v>15</v>
      </c>
      <c r="E9" s="309">
        <f>'EUI by Equipment Type'!AH53*GDP_Deflator</f>
        <v>0.51447889576687988</v>
      </c>
      <c r="F9" s="31">
        <v>0</v>
      </c>
      <c r="G9" s="280" t="s">
        <v>123</v>
      </c>
      <c r="H9" s="30"/>
      <c r="I9" s="30"/>
      <c r="J9" s="30"/>
      <c r="K9" s="30"/>
      <c r="L9" s="30"/>
      <c r="M9" s="30"/>
      <c r="N9" s="30"/>
      <c r="O9" s="30"/>
      <c r="P9" s="410"/>
    </row>
    <row r="10" spans="1:105" s="28" customFormat="1" ht="13.35" customHeight="1">
      <c r="A10" s="409" t="str">
        <f>"Install "&amp;B10&amp;" at Free Stall Dairy - Idaho"</f>
        <v>Install Energy Efficient Lighting at Free Stall Dairy - Idaho</v>
      </c>
      <c r="B10" s="30" t="s">
        <v>139</v>
      </c>
      <c r="C10" s="392">
        <f>'EUI by Equipment Type'!AJ53</f>
        <v>0.5253004611929295</v>
      </c>
      <c r="D10" s="31">
        <v>15</v>
      </c>
      <c r="E10" s="309">
        <f>'EUI by Equipment Type'!AK53*GDP_Deflator</f>
        <v>7.3963740963958288E-2</v>
      </c>
      <c r="F10" s="31">
        <v>0</v>
      </c>
      <c r="G10" s="276" t="s">
        <v>124</v>
      </c>
      <c r="H10" s="30"/>
      <c r="I10" s="30"/>
      <c r="J10" s="30"/>
      <c r="K10" s="30"/>
      <c r="L10" s="30"/>
      <c r="M10" s="30"/>
      <c r="N10" s="30"/>
      <c r="O10" s="30"/>
      <c r="P10" s="410"/>
    </row>
    <row r="11" spans="1:105" s="28" customFormat="1" ht="13.35" customHeight="1">
      <c r="A11" s="409" t="str">
        <f>"Install "&amp;B11&amp;" at Tie Stall Dairy - Idaho"</f>
        <v>Install VSD - Vacuum Pump at Tie Stall Dairy - Idaho</v>
      </c>
      <c r="B11" s="30" t="s">
        <v>137</v>
      </c>
      <c r="C11" s="392">
        <f>'EUI by Equipment Type'!AA71</f>
        <v>4.8885865216023019</v>
      </c>
      <c r="D11" s="31">
        <v>15</v>
      </c>
      <c r="E11" s="309">
        <f>'EUI by Equipment Type'!AB71*GDP_Deflator</f>
        <v>0.59537840461596525</v>
      </c>
      <c r="F11" s="31">
        <v>0</v>
      </c>
      <c r="G11" s="280" t="s">
        <v>91</v>
      </c>
      <c r="H11" s="30"/>
      <c r="I11" s="30"/>
      <c r="J11" s="30"/>
      <c r="K11" s="30"/>
      <c r="L11" s="30"/>
      <c r="M11" s="30"/>
      <c r="N11" s="30"/>
      <c r="O11" s="30"/>
      <c r="P11" s="410"/>
    </row>
    <row r="12" spans="1:105" s="28" customFormat="1" ht="13.35" customHeight="1">
      <c r="A12" s="409" t="str">
        <f>"Install "&amp;B12&amp;" at Tie Stall Dairy - Idaho"</f>
        <v>Install Heat Recovery Refrigeration at Tie Stall Dairy - Idaho</v>
      </c>
      <c r="B12" s="253" t="s">
        <v>64</v>
      </c>
      <c r="C12" s="418">
        <f>'EUI by Equipment Type'!AD71</f>
        <v>5.173293534972041</v>
      </c>
      <c r="D12" s="31">
        <v>15</v>
      </c>
      <c r="E12" s="309">
        <f>'EUI by Equipment Type'!AE71*GDP_Deflator</f>
        <v>0.63250552514432767</v>
      </c>
      <c r="F12" s="31">
        <v>0</v>
      </c>
      <c r="G12" s="280" t="s">
        <v>91</v>
      </c>
      <c r="H12" s="30"/>
      <c r="I12" s="30"/>
      <c r="J12" s="30"/>
      <c r="K12" s="30"/>
      <c r="L12" s="30"/>
      <c r="M12" s="30"/>
      <c r="N12" s="30"/>
      <c r="O12" s="30"/>
      <c r="P12" s="410"/>
    </row>
    <row r="13" spans="1:105" s="28" customFormat="1" ht="13.35" customHeight="1">
      <c r="A13" s="409" t="str">
        <f>"Install "&amp;B13&amp;" at Tie Stall Dairy - Idaho"</f>
        <v>Install Plate Milk Pre-Cooler at Tie Stall Dairy - Idaho</v>
      </c>
      <c r="B13" s="421" t="s">
        <v>56</v>
      </c>
      <c r="C13" s="422">
        <f>'EUI by Equipment Type'!AG71</f>
        <v>4</v>
      </c>
      <c r="D13" s="31">
        <v>15</v>
      </c>
      <c r="E13" s="420">
        <f>'EUI by Equipment Type'!AH71*GDP_Deflator</f>
        <v>0.45149651239206373</v>
      </c>
      <c r="F13" s="31">
        <v>0</v>
      </c>
      <c r="G13" s="423" t="s">
        <v>123</v>
      </c>
      <c r="H13" s="424"/>
      <c r="I13" s="424"/>
      <c r="J13" s="424"/>
      <c r="K13" s="424"/>
      <c r="L13" s="424"/>
      <c r="M13" s="424"/>
      <c r="N13" s="424"/>
      <c r="O13" s="424"/>
      <c r="P13" s="425"/>
    </row>
    <row r="14" spans="1:105" customFormat="1" ht="12.75" customHeight="1" thickBot="1">
      <c r="A14" s="411" t="str">
        <f>"Install "&amp;B14&amp;" at Tie Stall Dairy - Idaho"</f>
        <v>Install Energy Efficient Lighting at Tie Stall Dairy - Idaho</v>
      </c>
      <c r="B14" s="412" t="s">
        <v>139</v>
      </c>
      <c r="C14" s="419">
        <f>'EUI by Equipment Type'!AJ71</f>
        <v>2.8336615973578971</v>
      </c>
      <c r="D14" s="413">
        <v>15</v>
      </c>
      <c r="E14" s="420">
        <f>'EUI by Equipment Type'!AK71*GDP_Deflator</f>
        <v>0.3776042842716732</v>
      </c>
      <c r="F14" s="413">
        <v>0</v>
      </c>
      <c r="G14" s="414" t="s">
        <v>124</v>
      </c>
      <c r="H14" s="415"/>
      <c r="I14" s="415"/>
      <c r="J14" s="415"/>
      <c r="K14" s="415"/>
      <c r="L14" s="415"/>
      <c r="M14" s="415"/>
      <c r="N14" s="415"/>
      <c r="O14" s="415"/>
      <c r="P14" s="416"/>
    </row>
    <row r="15" spans="1:105" customFormat="1" ht="12.75" customHeight="1">
      <c r="A15" s="402" t="str">
        <f>"Install "&amp;B15&amp;" at Free Stall Dairy - Montana"</f>
        <v>Install VSD - Vacuum Pump at Free Stall Dairy - Montana</v>
      </c>
      <c r="B15" s="403" t="s">
        <v>137</v>
      </c>
      <c r="C15" s="417">
        <f>C8</f>
        <v>6.9735697018533438</v>
      </c>
      <c r="D15" s="404">
        <v>15</v>
      </c>
      <c r="E15" s="309">
        <f>E8</f>
        <v>0.92996697553610974</v>
      </c>
      <c r="F15" s="404">
        <v>0</v>
      </c>
      <c r="G15" s="406" t="s">
        <v>91</v>
      </c>
      <c r="H15" s="407"/>
      <c r="I15" s="407"/>
      <c r="J15" s="407"/>
      <c r="K15" s="407"/>
      <c r="L15" s="407"/>
      <c r="M15" s="407"/>
      <c r="N15" s="407"/>
      <c r="O15" s="407"/>
      <c r="P15" s="408"/>
    </row>
    <row r="16" spans="1:105" customFormat="1" ht="12.75" customHeight="1">
      <c r="A16" s="409" t="str">
        <f>"Install "&amp;B16&amp;" at Free Stall Dairy - Montana"</f>
        <v>Install Plate Milk Pre-cooler at Free Stall Dairy - Montana</v>
      </c>
      <c r="B16" s="30" t="s">
        <v>138</v>
      </c>
      <c r="C16" s="392">
        <f t="shared" ref="C16:C35" si="0">C9</f>
        <v>3.8581788879935535</v>
      </c>
      <c r="D16" s="31">
        <v>15</v>
      </c>
      <c r="E16" s="309">
        <f t="shared" ref="E16:E35" si="1">E9</f>
        <v>0.51447889576687988</v>
      </c>
      <c r="F16" s="31">
        <v>0</v>
      </c>
      <c r="G16" s="280" t="s">
        <v>123</v>
      </c>
      <c r="H16" s="30"/>
      <c r="I16" s="30"/>
      <c r="J16" s="30"/>
      <c r="K16" s="30"/>
      <c r="L16" s="30"/>
      <c r="M16" s="30"/>
      <c r="N16" s="30"/>
      <c r="O16" s="30"/>
      <c r="P16" s="410"/>
    </row>
    <row r="17" spans="1:16" customFormat="1" ht="12.75" customHeight="1">
      <c r="A17" s="409" t="str">
        <f>"Install "&amp;B17&amp;" at Free Stall Dairy - Montana"</f>
        <v>Install Energy Efficient Lighting at Free Stall Dairy - Montana</v>
      </c>
      <c r="B17" s="30" t="s">
        <v>139</v>
      </c>
      <c r="C17" s="392">
        <f t="shared" si="0"/>
        <v>0.5253004611929295</v>
      </c>
      <c r="D17" s="31">
        <v>15</v>
      </c>
      <c r="E17" s="309">
        <f t="shared" si="1"/>
        <v>7.3963740963958288E-2</v>
      </c>
      <c r="F17" s="31">
        <v>0</v>
      </c>
      <c r="G17" s="276" t="s">
        <v>124</v>
      </c>
      <c r="H17" s="30"/>
      <c r="I17" s="30"/>
      <c r="J17" s="30"/>
      <c r="K17" s="30"/>
      <c r="L17" s="30"/>
      <c r="M17" s="30"/>
      <c r="N17" s="30"/>
      <c r="O17" s="30"/>
      <c r="P17" s="410"/>
    </row>
    <row r="18" spans="1:16" customFormat="1" ht="12.75" customHeight="1">
      <c r="A18" s="409" t="str">
        <f>"Install "&amp;B18&amp;" at Tie Stall Dairy - Montana"</f>
        <v>Install VSD - Vacuum Pump at Tie Stall Dairy - Montana</v>
      </c>
      <c r="B18" s="30" t="s">
        <v>137</v>
      </c>
      <c r="C18" s="392">
        <f t="shared" si="0"/>
        <v>4.8885865216023019</v>
      </c>
      <c r="D18" s="31">
        <v>15</v>
      </c>
      <c r="E18" s="309">
        <f t="shared" si="1"/>
        <v>0.59537840461596525</v>
      </c>
      <c r="F18" s="31">
        <v>0</v>
      </c>
      <c r="G18" s="280" t="s">
        <v>91</v>
      </c>
      <c r="H18" s="30"/>
      <c r="I18" s="30"/>
      <c r="J18" s="30"/>
      <c r="K18" s="30"/>
      <c r="L18" s="30"/>
      <c r="M18" s="30"/>
      <c r="N18" s="30"/>
      <c r="O18" s="30"/>
      <c r="P18" s="410"/>
    </row>
    <row r="19" spans="1:16" customFormat="1" ht="12.75" customHeight="1">
      <c r="A19" s="409" t="str">
        <f>"Install "&amp;B19&amp;" at Tie Stall Dairy - Montana"</f>
        <v>Install Heat Recovery Refrigeration at Tie Stall Dairy - Montana</v>
      </c>
      <c r="B19" s="253" t="s">
        <v>64</v>
      </c>
      <c r="C19" s="418">
        <f t="shared" si="0"/>
        <v>5.173293534972041</v>
      </c>
      <c r="D19" s="31">
        <v>15</v>
      </c>
      <c r="E19" s="309">
        <f t="shared" si="1"/>
        <v>0.63250552514432767</v>
      </c>
      <c r="F19" s="31">
        <v>0</v>
      </c>
      <c r="G19" s="280" t="s">
        <v>91</v>
      </c>
      <c r="H19" s="30"/>
      <c r="I19" s="30"/>
      <c r="J19" s="30"/>
      <c r="K19" s="30"/>
      <c r="L19" s="30"/>
      <c r="M19" s="30"/>
      <c r="N19" s="30"/>
      <c r="O19" s="30"/>
      <c r="P19" s="410"/>
    </row>
    <row r="20" spans="1:16" customFormat="1" ht="12.75" customHeight="1">
      <c r="A20" s="409" t="str">
        <f>"Install "&amp;B20&amp;" at Tie Stall Dairy - Montana"</f>
        <v>Install Plate Milk Pre-Cooler at Tie Stall Dairy - Montana</v>
      </c>
      <c r="B20" s="421" t="s">
        <v>56</v>
      </c>
      <c r="C20" s="422">
        <f t="shared" si="0"/>
        <v>4</v>
      </c>
      <c r="D20" s="31">
        <v>15</v>
      </c>
      <c r="E20" s="309">
        <f t="shared" si="1"/>
        <v>0.45149651239206373</v>
      </c>
      <c r="F20" s="31">
        <v>0</v>
      </c>
      <c r="G20" s="423" t="s">
        <v>123</v>
      </c>
      <c r="H20" s="424"/>
      <c r="I20" s="424"/>
      <c r="J20" s="424"/>
      <c r="K20" s="424"/>
      <c r="L20" s="424"/>
      <c r="M20" s="424"/>
      <c r="N20" s="424"/>
      <c r="O20" s="424"/>
      <c r="P20" s="425"/>
    </row>
    <row r="21" spans="1:16" customFormat="1" ht="12.75" customHeight="1" thickBot="1">
      <c r="A21" s="411" t="str">
        <f>"Install "&amp;B21&amp;" at Tie Stall Dairy - Montana"</f>
        <v>Install Energy Efficient Lighting at Tie Stall Dairy - Montana</v>
      </c>
      <c r="B21" s="412" t="s">
        <v>139</v>
      </c>
      <c r="C21" s="419">
        <f t="shared" si="0"/>
        <v>2.8336615973578971</v>
      </c>
      <c r="D21" s="413">
        <v>15</v>
      </c>
      <c r="E21" s="309">
        <f t="shared" si="1"/>
        <v>0.3776042842716732</v>
      </c>
      <c r="F21" s="413">
        <v>0</v>
      </c>
      <c r="G21" s="414" t="s">
        <v>124</v>
      </c>
      <c r="H21" s="415"/>
      <c r="I21" s="415"/>
      <c r="J21" s="415"/>
      <c r="K21" s="415"/>
      <c r="L21" s="415"/>
      <c r="M21" s="415"/>
      <c r="N21" s="415"/>
      <c r="O21" s="415"/>
      <c r="P21" s="416"/>
    </row>
    <row r="22" spans="1:16" customFormat="1" ht="12.75" customHeight="1">
      <c r="A22" s="402" t="str">
        <f>"Install "&amp;B22&amp;" at Free Stall Dairy - Oregon"</f>
        <v>Install VSD - Vacuum Pump at Free Stall Dairy - Oregon</v>
      </c>
      <c r="B22" s="403" t="s">
        <v>137</v>
      </c>
      <c r="C22" s="417">
        <f>C15</f>
        <v>6.9735697018533438</v>
      </c>
      <c r="D22" s="404">
        <v>15</v>
      </c>
      <c r="E22" s="309">
        <f t="shared" si="1"/>
        <v>0.92996697553610974</v>
      </c>
      <c r="F22" s="404">
        <v>0</v>
      </c>
      <c r="G22" s="406" t="s">
        <v>91</v>
      </c>
      <c r="H22" s="407"/>
      <c r="I22" s="407"/>
      <c r="J22" s="407"/>
      <c r="K22" s="407"/>
      <c r="L22" s="407"/>
      <c r="M22" s="407"/>
      <c r="N22" s="407"/>
      <c r="O22" s="407"/>
      <c r="P22" s="408"/>
    </row>
    <row r="23" spans="1:16" customFormat="1" ht="12.75" customHeight="1">
      <c r="A23" s="409" t="str">
        <f>"Install "&amp;B23&amp;" at Free Stall Dairy - Oregon"</f>
        <v>Install Plate Milk Pre-cooler at Free Stall Dairy - Oregon</v>
      </c>
      <c r="B23" s="30" t="s">
        <v>138</v>
      </c>
      <c r="C23" s="392">
        <f t="shared" si="0"/>
        <v>3.8581788879935535</v>
      </c>
      <c r="D23" s="31">
        <v>15</v>
      </c>
      <c r="E23" s="309">
        <f t="shared" si="1"/>
        <v>0.51447889576687988</v>
      </c>
      <c r="F23" s="31">
        <v>0</v>
      </c>
      <c r="G23" s="280" t="s">
        <v>123</v>
      </c>
      <c r="H23" s="30"/>
      <c r="I23" s="30"/>
      <c r="J23" s="30"/>
      <c r="K23" s="30"/>
      <c r="L23" s="30"/>
      <c r="M23" s="30"/>
      <c r="N23" s="30"/>
      <c r="O23" s="30"/>
      <c r="P23" s="410"/>
    </row>
    <row r="24" spans="1:16" customFormat="1" ht="12.75" customHeight="1">
      <c r="A24" s="409" t="str">
        <f>"Install "&amp;B24&amp;" at Free Stall Dairy - Oregon"</f>
        <v>Install Energy Efficient Lighting at Free Stall Dairy - Oregon</v>
      </c>
      <c r="B24" s="30" t="s">
        <v>139</v>
      </c>
      <c r="C24" s="392">
        <f t="shared" si="0"/>
        <v>0.5253004611929295</v>
      </c>
      <c r="D24" s="31">
        <v>15</v>
      </c>
      <c r="E24" s="309">
        <f t="shared" si="1"/>
        <v>7.3963740963958288E-2</v>
      </c>
      <c r="F24" s="31">
        <v>0</v>
      </c>
      <c r="G24" s="276" t="s">
        <v>124</v>
      </c>
      <c r="H24" s="30"/>
      <c r="I24" s="30"/>
      <c r="J24" s="30"/>
      <c r="K24" s="30"/>
      <c r="L24" s="30"/>
      <c r="M24" s="30"/>
      <c r="N24" s="30"/>
      <c r="O24" s="30"/>
      <c r="P24" s="410"/>
    </row>
    <row r="25" spans="1:16" customFormat="1" ht="12.75" customHeight="1">
      <c r="A25" s="409" t="str">
        <f>"Install "&amp;B25&amp;" at Tie Stall Dairy - Oregon"</f>
        <v>Install VSD - Vacuum Pump at Tie Stall Dairy - Oregon</v>
      </c>
      <c r="B25" s="30" t="s">
        <v>137</v>
      </c>
      <c r="C25" s="392">
        <f t="shared" si="0"/>
        <v>4.8885865216023019</v>
      </c>
      <c r="D25" s="31">
        <v>15</v>
      </c>
      <c r="E25" s="309">
        <f t="shared" si="1"/>
        <v>0.59537840461596525</v>
      </c>
      <c r="F25" s="31">
        <v>0</v>
      </c>
      <c r="G25" s="280" t="s">
        <v>91</v>
      </c>
      <c r="H25" s="30"/>
      <c r="I25" s="30"/>
      <c r="J25" s="30"/>
      <c r="K25" s="30"/>
      <c r="L25" s="30"/>
      <c r="M25" s="30"/>
      <c r="N25" s="30"/>
      <c r="O25" s="30"/>
      <c r="P25" s="410"/>
    </row>
    <row r="26" spans="1:16" customFormat="1" ht="12.75" customHeight="1">
      <c r="A26" s="409" t="str">
        <f>"Install "&amp;B26&amp;" at Tie Stall Dairy - Oregon"</f>
        <v>Install Heat Recovery Refrigeration at Tie Stall Dairy - Oregon</v>
      </c>
      <c r="B26" s="253" t="s">
        <v>64</v>
      </c>
      <c r="C26" s="418">
        <f t="shared" si="0"/>
        <v>5.173293534972041</v>
      </c>
      <c r="D26" s="31">
        <v>15</v>
      </c>
      <c r="E26" s="309">
        <f t="shared" si="1"/>
        <v>0.63250552514432767</v>
      </c>
      <c r="F26" s="31">
        <v>0</v>
      </c>
      <c r="G26" s="280" t="s">
        <v>91</v>
      </c>
      <c r="H26" s="30"/>
      <c r="I26" s="30"/>
      <c r="J26" s="30"/>
      <c r="K26" s="30"/>
      <c r="L26" s="30"/>
      <c r="M26" s="30"/>
      <c r="N26" s="30"/>
      <c r="O26" s="30"/>
      <c r="P26" s="410"/>
    </row>
    <row r="27" spans="1:16" customFormat="1" ht="12.75" customHeight="1">
      <c r="A27" s="409" t="str">
        <f>"Install "&amp;B27&amp;" at Tie Stall Dairy - Oregon"</f>
        <v>Install Plate Milk Pre-Cooler at Tie Stall Dairy - Oregon</v>
      </c>
      <c r="B27" s="421" t="s">
        <v>56</v>
      </c>
      <c r="C27" s="422">
        <f t="shared" si="0"/>
        <v>4</v>
      </c>
      <c r="D27" s="31">
        <v>15</v>
      </c>
      <c r="E27" s="309">
        <f t="shared" si="1"/>
        <v>0.45149651239206373</v>
      </c>
      <c r="F27" s="31">
        <v>0</v>
      </c>
      <c r="G27" s="423" t="s">
        <v>123</v>
      </c>
      <c r="H27" s="424"/>
      <c r="I27" s="424"/>
      <c r="J27" s="424"/>
      <c r="K27" s="424"/>
      <c r="L27" s="424"/>
      <c r="M27" s="424"/>
      <c r="N27" s="424"/>
      <c r="O27" s="424"/>
      <c r="P27" s="425"/>
    </row>
    <row r="28" spans="1:16" customFormat="1" ht="12.75" customHeight="1" thickBot="1">
      <c r="A28" s="411" t="str">
        <f>"Install "&amp;B28&amp;" at Tie Stall Dairy - Oregon"</f>
        <v>Install Energy Efficient Lighting at Tie Stall Dairy - Oregon</v>
      </c>
      <c r="B28" s="412" t="s">
        <v>139</v>
      </c>
      <c r="C28" s="419">
        <f t="shared" si="0"/>
        <v>2.8336615973578971</v>
      </c>
      <c r="D28" s="413">
        <v>15</v>
      </c>
      <c r="E28" s="309">
        <f t="shared" si="1"/>
        <v>0.3776042842716732</v>
      </c>
      <c r="F28" s="413">
        <v>0</v>
      </c>
      <c r="G28" s="414" t="s">
        <v>124</v>
      </c>
      <c r="H28" s="415"/>
      <c r="I28" s="415"/>
      <c r="J28" s="415"/>
      <c r="K28" s="415"/>
      <c r="L28" s="415"/>
      <c r="M28" s="415"/>
      <c r="N28" s="415"/>
      <c r="O28" s="415"/>
      <c r="P28" s="416"/>
    </row>
    <row r="29" spans="1:16" customFormat="1" ht="12.75" customHeight="1">
      <c r="A29" s="402" t="str">
        <f>"Install "&amp;B29&amp;" at Free Stall Dairy - Washington"</f>
        <v>Install VSD - Vacuum Pump at Free Stall Dairy - Washington</v>
      </c>
      <c r="B29" s="403" t="s">
        <v>137</v>
      </c>
      <c r="C29" s="417">
        <f>C22</f>
        <v>6.9735697018533438</v>
      </c>
      <c r="D29" s="404">
        <v>15</v>
      </c>
      <c r="E29" s="309">
        <f t="shared" si="1"/>
        <v>0.92996697553610974</v>
      </c>
      <c r="F29" s="404">
        <v>0</v>
      </c>
      <c r="G29" s="406" t="s">
        <v>91</v>
      </c>
      <c r="H29" s="407"/>
      <c r="I29" s="407"/>
      <c r="J29" s="407"/>
      <c r="K29" s="407"/>
      <c r="L29" s="407"/>
      <c r="M29" s="407"/>
      <c r="N29" s="407"/>
      <c r="O29" s="407"/>
      <c r="P29" s="408"/>
    </row>
    <row r="30" spans="1:16" customFormat="1" ht="12.75" customHeight="1">
      <c r="A30" s="409" t="str">
        <f>"Install "&amp;B30&amp;" at Free Stall Dairy - Washington"</f>
        <v>Install Plate Milk Pre-cooler at Free Stall Dairy - Washington</v>
      </c>
      <c r="B30" s="30" t="s">
        <v>138</v>
      </c>
      <c r="C30" s="392">
        <f t="shared" si="0"/>
        <v>3.8581788879935535</v>
      </c>
      <c r="D30" s="31">
        <v>15</v>
      </c>
      <c r="E30" s="309">
        <f t="shared" si="1"/>
        <v>0.51447889576687988</v>
      </c>
      <c r="F30" s="31">
        <v>0</v>
      </c>
      <c r="G30" s="280" t="s">
        <v>123</v>
      </c>
      <c r="H30" s="30"/>
      <c r="I30" s="30"/>
      <c r="J30" s="30"/>
      <c r="K30" s="30"/>
      <c r="L30" s="30"/>
      <c r="M30" s="30"/>
      <c r="N30" s="30"/>
      <c r="O30" s="30"/>
      <c r="P30" s="410"/>
    </row>
    <row r="31" spans="1:16" customFormat="1" ht="12.75" customHeight="1">
      <c r="A31" s="409" t="str">
        <f>"Install "&amp;B31&amp;" at Free Stall Dairy - Washington"</f>
        <v>Install Energy Efficient Lighting at Free Stall Dairy - Washington</v>
      </c>
      <c r="B31" s="30" t="s">
        <v>139</v>
      </c>
      <c r="C31" s="392">
        <f t="shared" si="0"/>
        <v>0.5253004611929295</v>
      </c>
      <c r="D31" s="31">
        <v>15</v>
      </c>
      <c r="E31" s="309">
        <f t="shared" si="1"/>
        <v>7.3963740963958288E-2</v>
      </c>
      <c r="F31" s="31">
        <v>0</v>
      </c>
      <c r="G31" s="276" t="s">
        <v>124</v>
      </c>
      <c r="H31" s="30"/>
      <c r="I31" s="30"/>
      <c r="J31" s="30"/>
      <c r="K31" s="30"/>
      <c r="L31" s="30"/>
      <c r="M31" s="30"/>
      <c r="N31" s="30"/>
      <c r="O31" s="30"/>
      <c r="P31" s="410"/>
    </row>
    <row r="32" spans="1:16" customFormat="1" ht="12.75" customHeight="1">
      <c r="A32" s="409" t="str">
        <f>"Install "&amp;B32&amp;" at Tie Stall Dairy - Washington"</f>
        <v>Install VSD - Vacuum Pump at Tie Stall Dairy - Washington</v>
      </c>
      <c r="B32" s="30" t="s">
        <v>137</v>
      </c>
      <c r="C32" s="392">
        <f t="shared" si="0"/>
        <v>4.8885865216023019</v>
      </c>
      <c r="D32" s="31">
        <v>15</v>
      </c>
      <c r="E32" s="309">
        <f t="shared" si="1"/>
        <v>0.59537840461596525</v>
      </c>
      <c r="F32" s="31">
        <v>0</v>
      </c>
      <c r="G32" s="280" t="s">
        <v>91</v>
      </c>
      <c r="H32" s="30"/>
      <c r="I32" s="30"/>
      <c r="J32" s="30"/>
      <c r="K32" s="30"/>
      <c r="L32" s="30"/>
      <c r="M32" s="30"/>
      <c r="N32" s="30"/>
      <c r="O32" s="30"/>
      <c r="P32" s="410"/>
    </row>
    <row r="33" spans="1:16" customFormat="1" ht="12.75" customHeight="1">
      <c r="A33" s="409" t="str">
        <f>"Install "&amp;B33&amp;" at Tie Stall Dairy - Washington"</f>
        <v>Install Heat Recovery Refrigeration at Tie Stall Dairy - Washington</v>
      </c>
      <c r="B33" s="253" t="s">
        <v>64</v>
      </c>
      <c r="C33" s="418">
        <f t="shared" si="0"/>
        <v>5.173293534972041</v>
      </c>
      <c r="D33" s="31">
        <v>15</v>
      </c>
      <c r="E33" s="309">
        <f t="shared" si="1"/>
        <v>0.63250552514432767</v>
      </c>
      <c r="F33" s="31">
        <v>0</v>
      </c>
      <c r="G33" s="280" t="s">
        <v>91</v>
      </c>
      <c r="H33" s="30"/>
      <c r="I33" s="30"/>
      <c r="J33" s="30"/>
      <c r="K33" s="30"/>
      <c r="L33" s="30"/>
      <c r="M33" s="30"/>
      <c r="N33" s="30"/>
      <c r="O33" s="30"/>
      <c r="P33" s="410"/>
    </row>
    <row r="34" spans="1:16" customFormat="1" ht="12.75" customHeight="1">
      <c r="A34" s="409" t="str">
        <f>"Install "&amp;B34&amp;" at Tie Stall Dairy - Washington"</f>
        <v>Install Plate Milk Pre-Cooler at Tie Stall Dairy - Washington</v>
      </c>
      <c r="B34" s="421" t="s">
        <v>56</v>
      </c>
      <c r="C34" s="422">
        <f t="shared" si="0"/>
        <v>4</v>
      </c>
      <c r="D34" s="31">
        <v>15</v>
      </c>
      <c r="E34" s="309">
        <f t="shared" si="1"/>
        <v>0.45149651239206373</v>
      </c>
      <c r="F34" s="31">
        <v>0</v>
      </c>
      <c r="G34" s="423" t="s">
        <v>123</v>
      </c>
      <c r="H34" s="424"/>
      <c r="I34" s="424"/>
      <c r="J34" s="424"/>
      <c r="K34" s="424"/>
      <c r="L34" s="424"/>
      <c r="M34" s="424"/>
      <c r="N34" s="424"/>
      <c r="O34" s="424"/>
      <c r="P34" s="425"/>
    </row>
    <row r="35" spans="1:16" customFormat="1" ht="12.75" customHeight="1" thickBot="1">
      <c r="A35" s="411" t="str">
        <f>"Install "&amp;B35&amp;" at Tie Stall Dairy - Washington"</f>
        <v>Install Energy Efficient Lighting at Tie Stall Dairy - Washington</v>
      </c>
      <c r="B35" s="412" t="s">
        <v>139</v>
      </c>
      <c r="C35" s="419">
        <f t="shared" si="0"/>
        <v>2.8336615973578971</v>
      </c>
      <c r="D35" s="413">
        <v>15</v>
      </c>
      <c r="E35" s="309">
        <f t="shared" si="1"/>
        <v>0.3776042842716732</v>
      </c>
      <c r="F35" s="413">
        <v>0</v>
      </c>
      <c r="G35" s="414" t="s">
        <v>124</v>
      </c>
      <c r="H35" s="415"/>
      <c r="I35" s="415"/>
      <c r="J35" s="415"/>
      <c r="K35" s="415"/>
      <c r="L35" s="415"/>
      <c r="M35" s="415"/>
      <c r="N35" s="415"/>
      <c r="O35" s="415"/>
      <c r="P35" s="416"/>
    </row>
    <row r="36" spans="1:16" customFormat="1" ht="12.75" customHeight="1"/>
    <row r="37" spans="1:16" customFormat="1" ht="12.75" customHeight="1"/>
    <row r="38" spans="1:16" customFormat="1" ht="12.75" customHeight="1"/>
    <row r="39" spans="1:16" customFormat="1"/>
    <row r="40" spans="1:16" customFormat="1" ht="12.75" customHeight="1"/>
    <row r="41" spans="1:16" customFormat="1" ht="12.75" customHeight="1"/>
    <row r="42" spans="1:16" customFormat="1" ht="12.75" customHeight="1"/>
    <row r="43" spans="1:16" customFormat="1" ht="12.75" customHeight="1"/>
    <row r="44" spans="1:16" customFormat="1" ht="12.75" customHeight="1"/>
    <row r="45" spans="1:16" customFormat="1" ht="12.75" customHeight="1"/>
    <row r="46" spans="1:16" customFormat="1" ht="12.75" customHeight="1"/>
    <row r="47" spans="1:16" customFormat="1" ht="12.75" customHeight="1"/>
    <row r="48" spans="1:16" customFormat="1" ht="12.75" customHeight="1"/>
    <row r="49" customFormat="1" ht="12.75" customHeight="1"/>
    <row r="50" customFormat="1" ht="12.75" customHeight="1"/>
    <row r="51" customFormat="1" ht="12.75" customHeight="1"/>
    <row r="52" customFormat="1" ht="12.75" customHeight="1"/>
    <row r="53" customFormat="1" ht="12.75" customHeight="1"/>
    <row r="54" customFormat="1" ht="12.75" customHeight="1"/>
    <row r="55" customFormat="1" ht="12.75" customHeight="1"/>
    <row r="56" customFormat="1" ht="12.75" customHeight="1"/>
    <row r="57" customFormat="1" ht="12.75" customHeight="1"/>
    <row r="58" customFormat="1" ht="12.75" customHeight="1"/>
    <row r="59" customFormat="1" ht="12.75" customHeight="1"/>
    <row r="60" customFormat="1" ht="12.75" customHeight="1"/>
    <row r="61" customFormat="1" ht="12.75" customHeight="1"/>
    <row r="62" customFormat="1"/>
    <row r="63" customFormat="1"/>
    <row r="64" customFormat="1" ht="12.75" customHeight="1"/>
    <row r="65" customFormat="1" ht="12.75" customHeight="1"/>
    <row r="66" customFormat="1" ht="12.75" customHeight="1"/>
    <row r="67" customFormat="1" ht="12.75" customHeight="1"/>
    <row r="68" customFormat="1" ht="12.75" customHeight="1"/>
    <row r="69" customFormat="1" ht="12.75" customHeight="1"/>
    <row r="70" customFormat="1"/>
    <row r="71" customFormat="1" ht="12.75" customHeight="1"/>
    <row r="72" customFormat="1" ht="12.75" customHeight="1"/>
    <row r="73" customFormat="1" ht="12.75" customHeight="1"/>
    <row r="74" customFormat="1" ht="12.75" customHeight="1"/>
    <row r="75" customFormat="1"/>
    <row r="76" customFormat="1" ht="12.75" customHeight="1"/>
    <row r="77" customFormat="1" ht="12.75" customHeight="1"/>
    <row r="78" customFormat="1"/>
    <row r="79" customFormat="1" ht="12.75" customHeight="1"/>
    <row r="80" customFormat="1" ht="12.75" customHeight="1"/>
    <row r="81" customFormat="1" ht="12.75" customHeight="1"/>
    <row r="82" customFormat="1" ht="12.75" customHeight="1"/>
    <row r="83" customFormat="1" ht="12.75" customHeight="1"/>
    <row r="84" customFormat="1" ht="12.75" customHeight="1"/>
    <row r="85" customFormat="1" ht="12.75" customHeight="1"/>
    <row r="86" customFormat="1" ht="12.75" customHeight="1"/>
    <row r="87" customFormat="1"/>
    <row r="88" customFormat="1" ht="12.75" customHeight="1"/>
    <row r="89" customFormat="1" ht="12.75" customHeight="1"/>
    <row r="90" customFormat="1" ht="12.75" customHeight="1"/>
    <row r="91" customFormat="1" ht="12.75" customHeight="1"/>
    <row r="92" customFormat="1"/>
    <row r="93" customFormat="1" ht="12.75" customHeight="1"/>
    <row r="94" customFormat="1"/>
    <row r="95" customFormat="1" ht="12.75" customHeight="1"/>
    <row r="96" customFormat="1"/>
    <row r="97" customFormat="1" ht="12.75" customHeight="1"/>
    <row r="98" customFormat="1" ht="12.75" customHeight="1"/>
    <row r="99" customFormat="1" ht="12.75" customHeight="1"/>
    <row r="100" customFormat="1" ht="12.75" customHeight="1"/>
    <row r="101" customFormat="1"/>
    <row r="102" customFormat="1" ht="12.75" customHeight="1"/>
    <row r="103" customFormat="1" ht="12.75" customHeight="1"/>
    <row r="104" customFormat="1" ht="12.75" customHeight="1"/>
    <row r="105" customFormat="1" ht="12.75" customHeight="1"/>
    <row r="106" customFormat="1" ht="12.75" customHeight="1"/>
    <row r="107" customFormat="1" ht="12.75" customHeight="1"/>
    <row r="108" customFormat="1"/>
    <row r="109" customFormat="1" ht="12.75" customHeight="1"/>
    <row r="110" customFormat="1" ht="12.75" customHeight="1"/>
    <row r="111" customFormat="1" ht="12.75" customHeight="1"/>
    <row r="112" customFormat="1" ht="12.75" customHeight="1"/>
    <row r="113" customFormat="1" ht="12.75" customHeight="1"/>
    <row r="114" customFormat="1" ht="12.75" customHeight="1"/>
    <row r="115" customFormat="1" ht="12.75" customHeight="1"/>
    <row r="116" customFormat="1" ht="12.75" customHeight="1"/>
    <row r="117" customFormat="1"/>
    <row r="118" customFormat="1" ht="12.75" customHeight="1"/>
    <row r="119" customFormat="1" ht="12.75" customHeight="1"/>
    <row r="120" customFormat="1" ht="12.75" customHeight="1"/>
    <row r="121" customFormat="1"/>
    <row r="122" customFormat="1" ht="12.75" customHeight="1"/>
    <row r="123" customFormat="1" ht="12.75" customHeight="1"/>
    <row r="124" customFormat="1" ht="12.75" customHeight="1"/>
    <row r="125" customFormat="1" ht="12.75" customHeight="1"/>
    <row r="126" customFormat="1"/>
    <row r="127" customFormat="1" ht="12.75" customHeight="1"/>
    <row r="128" customFormat="1" ht="12.75" customHeight="1"/>
    <row r="129" customFormat="1"/>
    <row r="130" customFormat="1" ht="12.75" customHeight="1"/>
    <row r="131" customFormat="1" ht="12.75" customHeight="1"/>
    <row r="132" customFormat="1" ht="12.75" customHeight="1"/>
    <row r="133" customFormat="1" ht="12.75" customHeight="1"/>
    <row r="134" customFormat="1" ht="12.75" customHeight="1"/>
    <row r="135" customFormat="1" ht="12.75" customHeight="1"/>
    <row r="136" customFormat="1" ht="12.75" customHeight="1"/>
    <row r="137" customFormat="1" ht="12.75" customHeight="1"/>
    <row r="138" customFormat="1" ht="12.75" customHeight="1"/>
    <row r="139" customFormat="1" ht="12.75" customHeight="1"/>
    <row r="140" customFormat="1" ht="12.75" customHeight="1"/>
    <row r="141" customFormat="1" ht="12.75" customHeight="1"/>
    <row r="142" customFormat="1" ht="12.75" customHeight="1"/>
    <row r="143" customFormat="1" ht="12.75" customHeight="1"/>
    <row r="144" customFormat="1" ht="12.75" customHeight="1"/>
    <row r="145" customFormat="1" ht="12.75" customHeight="1"/>
    <row r="146" customFormat="1" ht="12.75" customHeight="1"/>
    <row r="147" customFormat="1" ht="12.75" customHeight="1"/>
    <row r="148" customFormat="1" ht="12.75" customHeight="1"/>
    <row r="149" customFormat="1" ht="12.75" customHeight="1"/>
    <row r="150" customFormat="1" ht="12.75" customHeight="1"/>
    <row r="151" customFormat="1"/>
    <row r="152" customFormat="1" ht="12.75" customHeight="1"/>
    <row r="153" customFormat="1" ht="12.75" customHeight="1"/>
    <row r="154" customFormat="1" ht="12.75" customHeight="1"/>
    <row r="155" customFormat="1" ht="12.75" customHeight="1"/>
    <row r="156" customFormat="1"/>
    <row r="157" customFormat="1" ht="12.75" customHeight="1"/>
    <row r="158" customFormat="1" ht="12.75" customHeight="1"/>
    <row r="159" customFormat="1"/>
    <row r="160" customFormat="1" ht="12.75" customHeight="1"/>
    <row r="161" customFormat="1" ht="12.75" customHeight="1"/>
    <row r="162" customFormat="1" ht="12.75" customHeight="1"/>
    <row r="163" customFormat="1" ht="12.75" customHeight="1"/>
    <row r="164" customFormat="1" ht="12.75" customHeight="1"/>
    <row r="165" customFormat="1" ht="12.75" customHeight="1"/>
    <row r="166" customFormat="1" ht="12.75" customHeight="1"/>
    <row r="167" customFormat="1" ht="12.75" customHeight="1"/>
    <row r="168" customFormat="1" ht="12.75" customHeight="1"/>
    <row r="169" customFormat="1" ht="12.75" customHeight="1"/>
    <row r="170" customFormat="1" ht="12.75" customHeight="1"/>
    <row r="171" customFormat="1" ht="12.75" customHeight="1"/>
    <row r="172" customFormat="1" ht="12.75" customHeight="1"/>
    <row r="173" customFormat="1" ht="12.75" customHeight="1"/>
    <row r="174" customFormat="1" ht="12.75" customHeight="1"/>
    <row r="175" customFormat="1" ht="12.75" customHeight="1"/>
    <row r="176" customFormat="1" ht="12.75" customHeight="1"/>
    <row r="177" spans="3:101" customFormat="1" ht="12.75" customHeight="1"/>
    <row r="178" spans="3:101" customFormat="1" ht="12.75" customHeight="1"/>
    <row r="179" spans="3:101" customFormat="1" ht="12.75" customHeight="1"/>
    <row r="180" spans="3:101" customFormat="1" ht="12.75" customHeight="1"/>
    <row r="181" spans="3:101" customFormat="1" ht="12.75" customHeight="1"/>
    <row r="182" spans="3:101" customFormat="1" ht="12.75" customHeight="1"/>
    <row r="183" spans="3:101" customFormat="1" ht="12.75" customHeight="1"/>
    <row r="184" spans="3:101" customFormat="1" ht="12.75" customHeight="1"/>
    <row r="185" spans="3:101" customFormat="1" ht="12.75" customHeight="1"/>
    <row r="186" spans="3:101" customFormat="1" ht="12.75" customHeight="1"/>
    <row r="187" spans="3:101" customFormat="1" ht="12.75" customHeight="1"/>
    <row r="188" spans="3:101" customFormat="1" ht="12.75" customHeight="1"/>
    <row r="189" spans="3:101" customFormat="1" ht="12.75" customHeight="1"/>
    <row r="190" spans="3:101" customFormat="1" ht="12.75" customHeight="1"/>
    <row r="191" spans="3:101" customFormat="1" ht="12.75" customHeight="1"/>
    <row r="192" spans="3:101" customFormat="1" ht="12.75" customHeight="1">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row>
    <row r="193" spans="3:101" customFormat="1" ht="12.75" customHeight="1">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row>
    <row r="194" spans="3:101" customFormat="1" ht="12.75" customHeight="1">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row>
    <row r="195" spans="3:101" customFormat="1" ht="12.75" customHeight="1">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c r="CL195" s="18"/>
      <c r="CM195" s="18"/>
      <c r="CN195" s="18"/>
      <c r="CO195" s="18"/>
      <c r="CP195" s="18"/>
      <c r="CQ195" s="18"/>
      <c r="CR195" s="18"/>
      <c r="CS195" s="18"/>
      <c r="CT195" s="18"/>
      <c r="CU195" s="18"/>
      <c r="CV195" s="18"/>
      <c r="CW195" s="18"/>
    </row>
    <row r="196" spans="3:101" customFormat="1" ht="12.75" customHeight="1">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row>
    <row r="197" spans="3:101" customFormat="1" ht="12.75" customHeight="1">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c r="CL197" s="18"/>
      <c r="CM197" s="18"/>
      <c r="CN197" s="18"/>
      <c r="CO197" s="18"/>
      <c r="CP197" s="18"/>
      <c r="CQ197" s="18"/>
      <c r="CR197" s="18"/>
      <c r="CS197" s="18"/>
      <c r="CT197" s="18"/>
      <c r="CU197" s="18"/>
      <c r="CV197" s="18"/>
      <c r="CW197" s="18"/>
    </row>
    <row r="198" spans="3:101" customFormat="1" ht="12.75" customHeight="1">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c r="CL198" s="18"/>
      <c r="CM198" s="18"/>
      <c r="CN198" s="18"/>
      <c r="CO198" s="18"/>
      <c r="CP198" s="18"/>
      <c r="CQ198" s="18"/>
      <c r="CR198" s="18"/>
      <c r="CS198" s="18"/>
      <c r="CT198" s="18"/>
      <c r="CU198" s="18"/>
      <c r="CV198" s="18"/>
      <c r="CW198" s="18"/>
    </row>
    <row r="199" spans="3:101" customFormat="1" ht="12.75" customHeight="1">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c r="CK199" s="18"/>
      <c r="CL199" s="18"/>
      <c r="CM199" s="18"/>
      <c r="CN199" s="18"/>
      <c r="CO199" s="18"/>
      <c r="CP199" s="18"/>
      <c r="CQ199" s="18"/>
      <c r="CR199" s="18"/>
      <c r="CS199" s="18"/>
      <c r="CT199" s="18"/>
      <c r="CU199" s="18"/>
      <c r="CV199" s="18"/>
      <c r="CW199" s="18"/>
    </row>
    <row r="200" spans="3:101" customFormat="1" ht="12.75" customHeight="1">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c r="CE200" s="18"/>
      <c r="CF200" s="18"/>
      <c r="CG200" s="18"/>
      <c r="CH200" s="18"/>
      <c r="CI200" s="18"/>
      <c r="CJ200" s="18"/>
      <c r="CK200" s="18"/>
      <c r="CL200" s="18"/>
      <c r="CM200" s="18"/>
      <c r="CN200" s="18"/>
      <c r="CO200" s="18"/>
      <c r="CP200" s="18"/>
      <c r="CQ200" s="18"/>
      <c r="CR200" s="18"/>
      <c r="CS200" s="18"/>
      <c r="CT200" s="18"/>
      <c r="CU200" s="18"/>
      <c r="CV200" s="18"/>
      <c r="CW200" s="18"/>
    </row>
    <row r="201" spans="3:101" customFormat="1" ht="12.75" customHeight="1">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c r="CL201" s="18"/>
      <c r="CM201" s="18"/>
      <c r="CN201" s="18"/>
      <c r="CO201" s="18"/>
      <c r="CP201" s="18"/>
      <c r="CQ201" s="18"/>
      <c r="CR201" s="18"/>
      <c r="CS201" s="18"/>
      <c r="CT201" s="18"/>
      <c r="CU201" s="18"/>
      <c r="CV201" s="18"/>
      <c r="CW201" s="18"/>
    </row>
    <row r="202" spans="3:101" customFormat="1" ht="12.75" customHeight="1">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c r="CK202" s="18"/>
      <c r="CL202" s="18"/>
      <c r="CM202" s="18"/>
      <c r="CN202" s="18"/>
      <c r="CO202" s="18"/>
      <c r="CP202" s="18"/>
      <c r="CQ202" s="18"/>
      <c r="CR202" s="18"/>
      <c r="CS202" s="18"/>
      <c r="CT202" s="18"/>
      <c r="CU202" s="18"/>
      <c r="CV202" s="18"/>
      <c r="CW202" s="18"/>
    </row>
    <row r="203" spans="3:101" customFormat="1" ht="12.75" customHeight="1">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c r="CK203" s="18"/>
      <c r="CL203" s="18"/>
      <c r="CM203" s="18"/>
      <c r="CN203" s="18"/>
      <c r="CO203" s="18"/>
      <c r="CP203" s="18"/>
      <c r="CQ203" s="18"/>
      <c r="CR203" s="18"/>
      <c r="CS203" s="18"/>
      <c r="CT203" s="18"/>
      <c r="CU203" s="18"/>
      <c r="CV203" s="18"/>
      <c r="CW203" s="18"/>
    </row>
    <row r="204" spans="3:101" customFormat="1" ht="12.75" customHeight="1">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c r="CK204" s="18"/>
      <c r="CL204" s="18"/>
      <c r="CM204" s="18"/>
      <c r="CN204" s="18"/>
      <c r="CO204" s="18"/>
      <c r="CP204" s="18"/>
      <c r="CQ204" s="18"/>
      <c r="CR204" s="18"/>
      <c r="CS204" s="18"/>
      <c r="CT204" s="18"/>
      <c r="CU204" s="18"/>
      <c r="CV204" s="18"/>
      <c r="CW204" s="18"/>
    </row>
    <row r="205" spans="3:101" customFormat="1" ht="12.75" customHeight="1">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c r="CG205" s="18"/>
      <c r="CH205" s="18"/>
      <c r="CI205" s="18"/>
      <c r="CJ205" s="18"/>
      <c r="CK205" s="18"/>
      <c r="CL205" s="18"/>
      <c r="CM205" s="18"/>
      <c r="CN205" s="18"/>
      <c r="CO205" s="18"/>
      <c r="CP205" s="18"/>
      <c r="CQ205" s="18"/>
      <c r="CR205" s="18"/>
      <c r="CS205" s="18"/>
      <c r="CT205" s="18"/>
      <c r="CU205" s="18"/>
      <c r="CV205" s="18"/>
      <c r="CW205" s="18"/>
    </row>
    <row r="206" spans="3:101" customFormat="1" ht="12.75" customHeight="1">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row>
    <row r="207" spans="3:101" customFormat="1" ht="12.75" customHeight="1">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c r="CE207" s="18"/>
      <c r="CF207" s="18"/>
      <c r="CG207" s="18"/>
      <c r="CH207" s="18"/>
      <c r="CI207" s="18"/>
      <c r="CJ207" s="18"/>
      <c r="CK207" s="18"/>
      <c r="CL207" s="18"/>
      <c r="CM207" s="18"/>
      <c r="CN207" s="18"/>
      <c r="CO207" s="18"/>
      <c r="CP207" s="18"/>
      <c r="CQ207" s="18"/>
      <c r="CR207" s="18"/>
      <c r="CS207" s="18"/>
      <c r="CT207" s="18"/>
      <c r="CU207" s="18"/>
      <c r="CV207" s="18"/>
      <c r="CW207" s="18"/>
    </row>
    <row r="208" spans="3:101" customFormat="1" ht="12.75" customHeight="1">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c r="CA208" s="18"/>
      <c r="CB208" s="18"/>
      <c r="CC208" s="18"/>
      <c r="CD208" s="18"/>
      <c r="CE208" s="18"/>
      <c r="CF208" s="18"/>
      <c r="CG208" s="18"/>
      <c r="CH208" s="18"/>
      <c r="CI208" s="18"/>
      <c r="CJ208" s="18"/>
      <c r="CK208" s="18"/>
      <c r="CL208" s="18"/>
      <c r="CM208" s="18"/>
      <c r="CN208" s="18"/>
      <c r="CO208" s="18"/>
      <c r="CP208" s="18"/>
      <c r="CQ208" s="18"/>
      <c r="CR208" s="18"/>
      <c r="CS208" s="18"/>
      <c r="CT208" s="18"/>
      <c r="CU208" s="18"/>
      <c r="CV208" s="18"/>
      <c r="CW208" s="18"/>
    </row>
    <row r="209" spans="3:101" customFormat="1" ht="12.75" customHeight="1">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c r="CA209" s="18"/>
      <c r="CB209" s="18"/>
      <c r="CC209" s="18"/>
      <c r="CD209" s="18"/>
      <c r="CE209" s="18"/>
      <c r="CF209" s="18"/>
      <c r="CG209" s="18"/>
      <c r="CH209" s="18"/>
      <c r="CI209" s="18"/>
      <c r="CJ209" s="18"/>
      <c r="CK209" s="18"/>
      <c r="CL209" s="18"/>
      <c r="CM209" s="18"/>
      <c r="CN209" s="18"/>
      <c r="CO209" s="18"/>
      <c r="CP209" s="18"/>
      <c r="CQ209" s="18"/>
      <c r="CR209" s="18"/>
      <c r="CS209" s="18"/>
      <c r="CT209" s="18"/>
      <c r="CU209" s="18"/>
      <c r="CV209" s="18"/>
      <c r="CW209" s="18"/>
    </row>
    <row r="210" spans="3:101" customFormat="1" ht="12.75" customHeight="1">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c r="BV210" s="18"/>
      <c r="BW210" s="18"/>
      <c r="BX210" s="18"/>
      <c r="BY210" s="18"/>
      <c r="BZ210" s="18"/>
      <c r="CA210" s="18"/>
      <c r="CB210" s="18"/>
      <c r="CC210" s="18"/>
      <c r="CD210" s="18"/>
      <c r="CE210" s="18"/>
      <c r="CF210" s="18"/>
      <c r="CG210" s="18"/>
      <c r="CH210" s="18"/>
      <c r="CI210" s="18"/>
      <c r="CJ210" s="18"/>
      <c r="CK210" s="18"/>
      <c r="CL210" s="18"/>
      <c r="CM210" s="18"/>
      <c r="CN210" s="18"/>
      <c r="CO210" s="18"/>
      <c r="CP210" s="18"/>
      <c r="CQ210" s="18"/>
      <c r="CR210" s="18"/>
      <c r="CS210" s="18"/>
      <c r="CT210" s="18"/>
      <c r="CU210" s="18"/>
      <c r="CV210" s="18"/>
      <c r="CW210" s="18"/>
    </row>
    <row r="211" spans="3:101" customFormat="1" ht="12.75" customHeight="1">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c r="CE211" s="18"/>
      <c r="CF211" s="18"/>
      <c r="CG211" s="18"/>
      <c r="CH211" s="18"/>
      <c r="CI211" s="18"/>
      <c r="CJ211" s="18"/>
      <c r="CK211" s="18"/>
      <c r="CL211" s="18"/>
      <c r="CM211" s="18"/>
      <c r="CN211" s="18"/>
      <c r="CO211" s="18"/>
      <c r="CP211" s="18"/>
      <c r="CQ211" s="18"/>
      <c r="CR211" s="18"/>
      <c r="CS211" s="18"/>
      <c r="CT211" s="18"/>
      <c r="CU211" s="18"/>
      <c r="CV211" s="18"/>
      <c r="CW211" s="18"/>
    </row>
    <row r="212" spans="3:101" customFormat="1" ht="12.75" customHeight="1">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c r="BV212" s="18"/>
      <c r="BW212" s="18"/>
      <c r="BX212" s="18"/>
      <c r="BY212" s="18"/>
      <c r="BZ212" s="18"/>
      <c r="CA212" s="18"/>
      <c r="CB212" s="18"/>
      <c r="CC212" s="18"/>
      <c r="CD212" s="18"/>
      <c r="CE212" s="18"/>
      <c r="CF212" s="18"/>
      <c r="CG212" s="18"/>
      <c r="CH212" s="18"/>
      <c r="CI212" s="18"/>
      <c r="CJ212" s="18"/>
      <c r="CK212" s="18"/>
      <c r="CL212" s="18"/>
      <c r="CM212" s="18"/>
      <c r="CN212" s="18"/>
      <c r="CO212" s="18"/>
      <c r="CP212" s="18"/>
      <c r="CQ212" s="18"/>
      <c r="CR212" s="18"/>
      <c r="CS212" s="18"/>
      <c r="CT212" s="18"/>
      <c r="CU212" s="18"/>
      <c r="CV212" s="18"/>
      <c r="CW212" s="18"/>
    </row>
    <row r="213" spans="3:101" customFormat="1" ht="12.75" customHeight="1">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c r="CA213" s="18"/>
      <c r="CB213" s="18"/>
      <c r="CC213" s="18"/>
      <c r="CD213" s="18"/>
      <c r="CE213" s="18"/>
      <c r="CF213" s="18"/>
      <c r="CG213" s="18"/>
      <c r="CH213" s="18"/>
      <c r="CI213" s="18"/>
      <c r="CJ213" s="18"/>
      <c r="CK213" s="18"/>
      <c r="CL213" s="18"/>
      <c r="CM213" s="18"/>
      <c r="CN213" s="18"/>
      <c r="CO213" s="18"/>
      <c r="CP213" s="18"/>
      <c r="CQ213" s="18"/>
      <c r="CR213" s="18"/>
      <c r="CS213" s="18"/>
      <c r="CT213" s="18"/>
      <c r="CU213" s="18"/>
      <c r="CV213" s="18"/>
      <c r="CW213" s="18"/>
    </row>
    <row r="214" spans="3:101" customFormat="1" ht="12.75" customHeight="1">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c r="CA214" s="18"/>
      <c r="CB214" s="18"/>
      <c r="CC214" s="18"/>
      <c r="CD214" s="18"/>
      <c r="CE214" s="18"/>
      <c r="CF214" s="18"/>
      <c r="CG214" s="18"/>
      <c r="CH214" s="18"/>
      <c r="CI214" s="18"/>
      <c r="CJ214" s="18"/>
      <c r="CK214" s="18"/>
      <c r="CL214" s="18"/>
      <c r="CM214" s="18"/>
      <c r="CN214" s="18"/>
      <c r="CO214" s="18"/>
      <c r="CP214" s="18"/>
      <c r="CQ214" s="18"/>
      <c r="CR214" s="18"/>
      <c r="CS214" s="18"/>
      <c r="CT214" s="18"/>
      <c r="CU214" s="18"/>
      <c r="CV214" s="18"/>
      <c r="CW214" s="18"/>
    </row>
    <row r="215" spans="3:101" customFormat="1" ht="12.75" customHeight="1">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c r="CA215" s="18"/>
      <c r="CB215" s="18"/>
      <c r="CC215" s="18"/>
      <c r="CD215" s="18"/>
      <c r="CE215" s="18"/>
      <c r="CF215" s="18"/>
      <c r="CG215" s="18"/>
      <c r="CH215" s="18"/>
      <c r="CI215" s="18"/>
      <c r="CJ215" s="18"/>
      <c r="CK215" s="18"/>
      <c r="CL215" s="18"/>
      <c r="CM215" s="18"/>
      <c r="CN215" s="18"/>
      <c r="CO215" s="18"/>
      <c r="CP215" s="18"/>
      <c r="CQ215" s="18"/>
      <c r="CR215" s="18"/>
      <c r="CS215" s="18"/>
      <c r="CT215" s="18"/>
      <c r="CU215" s="18"/>
      <c r="CV215" s="18"/>
      <c r="CW215" s="18"/>
    </row>
    <row r="216" spans="3:101" customFormat="1" ht="12.75" customHeight="1">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c r="CK216" s="18"/>
      <c r="CL216" s="18"/>
      <c r="CM216" s="18"/>
      <c r="CN216" s="18"/>
      <c r="CO216" s="18"/>
      <c r="CP216" s="18"/>
      <c r="CQ216" s="18"/>
      <c r="CR216" s="18"/>
      <c r="CS216" s="18"/>
      <c r="CT216" s="18"/>
      <c r="CU216" s="18"/>
      <c r="CV216" s="18"/>
      <c r="CW216" s="18"/>
    </row>
    <row r="217" spans="3:101" customFormat="1" ht="12.75" customHeight="1">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c r="CA217" s="18"/>
      <c r="CB217" s="18"/>
      <c r="CC217" s="18"/>
      <c r="CD217" s="18"/>
      <c r="CE217" s="18"/>
      <c r="CF217" s="18"/>
      <c r="CG217" s="18"/>
      <c r="CH217" s="18"/>
      <c r="CI217" s="18"/>
      <c r="CJ217" s="18"/>
      <c r="CK217" s="18"/>
      <c r="CL217" s="18"/>
      <c r="CM217" s="18"/>
      <c r="CN217" s="18"/>
      <c r="CO217" s="18"/>
      <c r="CP217" s="18"/>
      <c r="CQ217" s="18"/>
      <c r="CR217" s="18"/>
      <c r="CS217" s="18"/>
      <c r="CT217" s="18"/>
      <c r="CU217" s="18"/>
      <c r="CV217" s="18"/>
      <c r="CW217" s="18"/>
    </row>
    <row r="218" spans="3:101" customFormat="1" ht="12.75" customHeight="1">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18"/>
      <c r="BS218" s="18"/>
      <c r="BT218" s="18"/>
      <c r="BU218" s="18"/>
      <c r="BV218" s="18"/>
      <c r="BW218" s="18"/>
      <c r="BX218" s="18"/>
      <c r="BY218" s="18"/>
      <c r="BZ218" s="18"/>
      <c r="CA218" s="18"/>
      <c r="CB218" s="18"/>
      <c r="CC218" s="18"/>
      <c r="CD218" s="18"/>
      <c r="CE218" s="18"/>
      <c r="CF218" s="18"/>
      <c r="CG218" s="18"/>
      <c r="CH218" s="18"/>
      <c r="CI218" s="18"/>
      <c r="CJ218" s="18"/>
      <c r="CK218" s="18"/>
      <c r="CL218" s="18"/>
      <c r="CM218" s="18"/>
      <c r="CN218" s="18"/>
      <c r="CO218" s="18"/>
      <c r="CP218" s="18"/>
      <c r="CQ218" s="18"/>
      <c r="CR218" s="18"/>
      <c r="CS218" s="18"/>
      <c r="CT218" s="18"/>
      <c r="CU218" s="18"/>
      <c r="CV218" s="18"/>
      <c r="CW218" s="18"/>
    </row>
    <row r="219" spans="3:101" customFormat="1" ht="12.75" customHeight="1">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c r="BV219" s="18"/>
      <c r="BW219" s="18"/>
      <c r="BX219" s="18"/>
      <c r="BY219" s="18"/>
      <c r="BZ219" s="18"/>
      <c r="CA219" s="18"/>
      <c r="CB219" s="18"/>
      <c r="CC219" s="18"/>
      <c r="CD219" s="18"/>
      <c r="CE219" s="18"/>
      <c r="CF219" s="18"/>
      <c r="CG219" s="18"/>
      <c r="CH219" s="18"/>
      <c r="CI219" s="18"/>
      <c r="CJ219" s="18"/>
      <c r="CK219" s="18"/>
      <c r="CL219" s="18"/>
      <c r="CM219" s="18"/>
      <c r="CN219" s="18"/>
      <c r="CO219" s="18"/>
      <c r="CP219" s="18"/>
      <c r="CQ219" s="18"/>
      <c r="CR219" s="18"/>
      <c r="CS219" s="18"/>
      <c r="CT219" s="18"/>
      <c r="CU219" s="18"/>
      <c r="CV219" s="18"/>
      <c r="CW219" s="18"/>
    </row>
    <row r="220" spans="3:101" customFormat="1" ht="12.75" customHeight="1">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c r="BS220" s="18"/>
      <c r="BT220" s="18"/>
      <c r="BU220" s="18"/>
      <c r="BV220" s="18"/>
      <c r="BW220" s="18"/>
      <c r="BX220" s="18"/>
      <c r="BY220" s="18"/>
      <c r="BZ220" s="18"/>
      <c r="CA220" s="18"/>
      <c r="CB220" s="18"/>
      <c r="CC220" s="18"/>
      <c r="CD220" s="18"/>
      <c r="CE220" s="18"/>
      <c r="CF220" s="18"/>
      <c r="CG220" s="18"/>
      <c r="CH220" s="18"/>
      <c r="CI220" s="18"/>
      <c r="CJ220" s="18"/>
      <c r="CK220" s="18"/>
      <c r="CL220" s="18"/>
      <c r="CM220" s="18"/>
      <c r="CN220" s="18"/>
      <c r="CO220" s="18"/>
      <c r="CP220" s="18"/>
      <c r="CQ220" s="18"/>
      <c r="CR220" s="18"/>
      <c r="CS220" s="18"/>
      <c r="CT220" s="18"/>
      <c r="CU220" s="18"/>
      <c r="CV220" s="18"/>
      <c r="CW220" s="18"/>
    </row>
    <row r="221" spans="3:101" customFormat="1" ht="12.75" customHeight="1">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A221" s="18"/>
      <c r="CB221" s="18"/>
      <c r="CC221" s="18"/>
      <c r="CD221" s="18"/>
      <c r="CE221" s="18"/>
      <c r="CF221" s="18"/>
      <c r="CG221" s="18"/>
      <c r="CH221" s="18"/>
      <c r="CI221" s="18"/>
      <c r="CJ221" s="18"/>
      <c r="CK221" s="18"/>
      <c r="CL221" s="18"/>
      <c r="CM221" s="18"/>
      <c r="CN221" s="18"/>
      <c r="CO221" s="18"/>
      <c r="CP221" s="18"/>
      <c r="CQ221" s="18"/>
      <c r="CR221" s="18"/>
      <c r="CS221" s="18"/>
      <c r="CT221" s="18"/>
      <c r="CU221" s="18"/>
      <c r="CV221" s="18"/>
      <c r="CW221" s="18"/>
    </row>
    <row r="222" spans="3:101" customFormat="1" ht="12.75" customHeight="1">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c r="BV222" s="18"/>
      <c r="BW222" s="18"/>
      <c r="BX222" s="18"/>
      <c r="BY222" s="18"/>
      <c r="BZ222" s="18"/>
      <c r="CA222" s="18"/>
      <c r="CB222" s="18"/>
      <c r="CC222" s="18"/>
      <c r="CD222" s="18"/>
      <c r="CE222" s="18"/>
      <c r="CF222" s="18"/>
      <c r="CG222" s="18"/>
      <c r="CH222" s="18"/>
      <c r="CI222" s="18"/>
      <c r="CJ222" s="18"/>
      <c r="CK222" s="18"/>
      <c r="CL222" s="18"/>
      <c r="CM222" s="18"/>
      <c r="CN222" s="18"/>
      <c r="CO222" s="18"/>
      <c r="CP222" s="18"/>
      <c r="CQ222" s="18"/>
      <c r="CR222" s="18"/>
      <c r="CS222" s="18"/>
      <c r="CT222" s="18"/>
      <c r="CU222" s="18"/>
      <c r="CV222" s="18"/>
      <c r="CW222" s="18"/>
    </row>
    <row r="223" spans="3:101" customFormat="1" ht="12.75" customHeight="1">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c r="BV223" s="18"/>
      <c r="BW223" s="18"/>
      <c r="BX223" s="18"/>
      <c r="BY223" s="18"/>
      <c r="BZ223" s="18"/>
      <c r="CA223" s="18"/>
      <c r="CB223" s="18"/>
      <c r="CC223" s="18"/>
      <c r="CD223" s="18"/>
      <c r="CE223" s="18"/>
      <c r="CF223" s="18"/>
      <c r="CG223" s="18"/>
      <c r="CH223" s="18"/>
      <c r="CI223" s="18"/>
      <c r="CJ223" s="18"/>
      <c r="CK223" s="18"/>
      <c r="CL223" s="18"/>
      <c r="CM223" s="18"/>
      <c r="CN223" s="18"/>
      <c r="CO223" s="18"/>
      <c r="CP223" s="18"/>
      <c r="CQ223" s="18"/>
      <c r="CR223" s="18"/>
      <c r="CS223" s="18"/>
      <c r="CT223" s="18"/>
      <c r="CU223" s="18"/>
      <c r="CV223" s="18"/>
      <c r="CW223" s="18"/>
    </row>
    <row r="224" spans="3:101" customFormat="1" ht="12.75" customHeight="1">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18"/>
      <c r="BS224" s="18"/>
      <c r="BT224" s="18"/>
      <c r="BU224" s="18"/>
      <c r="BV224" s="18"/>
      <c r="BW224" s="18"/>
      <c r="BX224" s="18"/>
      <c r="BY224" s="18"/>
      <c r="BZ224" s="18"/>
      <c r="CA224" s="18"/>
      <c r="CB224" s="18"/>
      <c r="CC224" s="18"/>
      <c r="CD224" s="18"/>
      <c r="CE224" s="18"/>
      <c r="CF224" s="18"/>
      <c r="CG224" s="18"/>
      <c r="CH224" s="18"/>
      <c r="CI224" s="18"/>
      <c r="CJ224" s="18"/>
      <c r="CK224" s="18"/>
      <c r="CL224" s="18"/>
      <c r="CM224" s="18"/>
      <c r="CN224" s="18"/>
      <c r="CO224" s="18"/>
      <c r="CP224" s="18"/>
      <c r="CQ224" s="18"/>
      <c r="CR224" s="18"/>
      <c r="CS224" s="18"/>
      <c r="CT224" s="18"/>
      <c r="CU224" s="18"/>
      <c r="CV224" s="18"/>
      <c r="CW224" s="18"/>
    </row>
    <row r="225" spans="3:101" customFormat="1" ht="12.75" customHeight="1">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c r="BV225" s="18"/>
      <c r="BW225" s="18"/>
      <c r="BX225" s="18"/>
      <c r="BY225" s="18"/>
      <c r="BZ225" s="18"/>
      <c r="CA225" s="18"/>
      <c r="CB225" s="18"/>
      <c r="CC225" s="18"/>
      <c r="CD225" s="18"/>
      <c r="CE225" s="18"/>
      <c r="CF225" s="18"/>
      <c r="CG225" s="18"/>
      <c r="CH225" s="18"/>
      <c r="CI225" s="18"/>
      <c r="CJ225" s="18"/>
      <c r="CK225" s="18"/>
      <c r="CL225" s="18"/>
      <c r="CM225" s="18"/>
      <c r="CN225" s="18"/>
      <c r="CO225" s="18"/>
      <c r="CP225" s="18"/>
      <c r="CQ225" s="18"/>
      <c r="CR225" s="18"/>
      <c r="CS225" s="18"/>
      <c r="CT225" s="18"/>
      <c r="CU225" s="18"/>
      <c r="CV225" s="18"/>
      <c r="CW225" s="18"/>
    </row>
    <row r="226" spans="3:101" customFormat="1" ht="12.75" customHeight="1">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c r="CE226" s="18"/>
      <c r="CF226" s="18"/>
      <c r="CG226" s="18"/>
      <c r="CH226" s="18"/>
      <c r="CI226" s="18"/>
      <c r="CJ226" s="18"/>
      <c r="CK226" s="18"/>
      <c r="CL226" s="18"/>
      <c r="CM226" s="18"/>
      <c r="CN226" s="18"/>
      <c r="CO226" s="18"/>
      <c r="CP226" s="18"/>
      <c r="CQ226" s="18"/>
      <c r="CR226" s="18"/>
      <c r="CS226" s="18"/>
      <c r="CT226" s="18"/>
      <c r="CU226" s="18"/>
      <c r="CV226" s="18"/>
      <c r="CW226" s="18"/>
    </row>
    <row r="227" spans="3:101" customFormat="1" ht="12.75" customHeight="1">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18"/>
      <c r="BV227" s="18"/>
      <c r="BW227" s="18"/>
      <c r="BX227" s="18"/>
      <c r="BY227" s="18"/>
      <c r="BZ227" s="18"/>
      <c r="CA227" s="18"/>
      <c r="CB227" s="18"/>
      <c r="CC227" s="18"/>
      <c r="CD227" s="18"/>
      <c r="CE227" s="18"/>
      <c r="CF227" s="18"/>
      <c r="CG227" s="18"/>
      <c r="CH227" s="18"/>
      <c r="CI227" s="18"/>
      <c r="CJ227" s="18"/>
      <c r="CK227" s="18"/>
      <c r="CL227" s="18"/>
      <c r="CM227" s="18"/>
      <c r="CN227" s="18"/>
      <c r="CO227" s="18"/>
      <c r="CP227" s="18"/>
      <c r="CQ227" s="18"/>
      <c r="CR227" s="18"/>
      <c r="CS227" s="18"/>
      <c r="CT227" s="18"/>
      <c r="CU227" s="18"/>
      <c r="CV227" s="18"/>
      <c r="CW227" s="18"/>
    </row>
    <row r="228" spans="3:101" customFormat="1" ht="12.75" customHeight="1">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18"/>
      <c r="BS228" s="18"/>
      <c r="BT228" s="18"/>
      <c r="BU228" s="18"/>
      <c r="BV228" s="18"/>
      <c r="BW228" s="18"/>
      <c r="BX228" s="18"/>
      <c r="BY228" s="18"/>
      <c r="BZ228" s="18"/>
      <c r="CA228" s="18"/>
      <c r="CB228" s="18"/>
      <c r="CC228" s="18"/>
      <c r="CD228" s="18"/>
      <c r="CE228" s="18"/>
      <c r="CF228" s="18"/>
      <c r="CG228" s="18"/>
      <c r="CH228" s="18"/>
      <c r="CI228" s="18"/>
      <c r="CJ228" s="18"/>
      <c r="CK228" s="18"/>
      <c r="CL228" s="18"/>
      <c r="CM228" s="18"/>
      <c r="CN228" s="18"/>
      <c r="CO228" s="18"/>
      <c r="CP228" s="18"/>
      <c r="CQ228" s="18"/>
      <c r="CR228" s="18"/>
      <c r="CS228" s="18"/>
      <c r="CT228" s="18"/>
      <c r="CU228" s="18"/>
      <c r="CV228" s="18"/>
      <c r="CW228" s="18"/>
    </row>
    <row r="229" spans="3:101" customFormat="1" ht="12.75" customHeight="1">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18"/>
      <c r="BV229" s="18"/>
      <c r="BW229" s="18"/>
      <c r="BX229" s="18"/>
      <c r="BY229" s="18"/>
      <c r="BZ229" s="18"/>
      <c r="CA229" s="18"/>
      <c r="CB229" s="18"/>
      <c r="CC229" s="18"/>
      <c r="CD229" s="18"/>
      <c r="CE229" s="18"/>
      <c r="CF229" s="18"/>
      <c r="CG229" s="18"/>
      <c r="CH229" s="18"/>
      <c r="CI229" s="18"/>
      <c r="CJ229" s="18"/>
      <c r="CK229" s="18"/>
      <c r="CL229" s="18"/>
      <c r="CM229" s="18"/>
      <c r="CN229" s="18"/>
      <c r="CO229" s="18"/>
      <c r="CP229" s="18"/>
      <c r="CQ229" s="18"/>
      <c r="CR229" s="18"/>
      <c r="CS229" s="18"/>
      <c r="CT229" s="18"/>
      <c r="CU229" s="18"/>
      <c r="CV229" s="18"/>
      <c r="CW229" s="18"/>
    </row>
    <row r="230" spans="3:101" customFormat="1" ht="12.75" customHeight="1">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c r="BS230" s="18"/>
      <c r="BT230" s="18"/>
      <c r="BU230" s="18"/>
      <c r="BV230" s="18"/>
      <c r="BW230" s="18"/>
      <c r="BX230" s="18"/>
      <c r="BY230" s="18"/>
      <c r="BZ230" s="18"/>
      <c r="CA230" s="18"/>
      <c r="CB230" s="18"/>
      <c r="CC230" s="18"/>
      <c r="CD230" s="18"/>
      <c r="CE230" s="18"/>
      <c r="CF230" s="18"/>
      <c r="CG230" s="18"/>
      <c r="CH230" s="18"/>
      <c r="CI230" s="18"/>
      <c r="CJ230" s="18"/>
      <c r="CK230" s="18"/>
      <c r="CL230" s="18"/>
      <c r="CM230" s="18"/>
      <c r="CN230" s="18"/>
      <c r="CO230" s="18"/>
      <c r="CP230" s="18"/>
      <c r="CQ230" s="18"/>
      <c r="CR230" s="18"/>
      <c r="CS230" s="18"/>
      <c r="CT230" s="18"/>
      <c r="CU230" s="18"/>
      <c r="CV230" s="18"/>
      <c r="CW230" s="18"/>
    </row>
    <row r="231" spans="3:101" customFormat="1" ht="12.75" customHeight="1">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18"/>
      <c r="BS231" s="18"/>
      <c r="BT231" s="18"/>
      <c r="BU231" s="18"/>
      <c r="BV231" s="18"/>
      <c r="BW231" s="18"/>
      <c r="BX231" s="18"/>
      <c r="BY231" s="18"/>
      <c r="BZ231" s="18"/>
      <c r="CA231" s="18"/>
      <c r="CB231" s="18"/>
      <c r="CC231" s="18"/>
      <c r="CD231" s="18"/>
      <c r="CE231" s="18"/>
      <c r="CF231" s="18"/>
      <c r="CG231" s="18"/>
      <c r="CH231" s="18"/>
      <c r="CI231" s="18"/>
      <c r="CJ231" s="18"/>
      <c r="CK231" s="18"/>
      <c r="CL231" s="18"/>
      <c r="CM231" s="18"/>
      <c r="CN231" s="18"/>
      <c r="CO231" s="18"/>
      <c r="CP231" s="18"/>
      <c r="CQ231" s="18"/>
      <c r="CR231" s="18"/>
      <c r="CS231" s="18"/>
      <c r="CT231" s="18"/>
      <c r="CU231" s="18"/>
      <c r="CV231" s="18"/>
      <c r="CW231" s="18"/>
    </row>
    <row r="232" spans="3:101" customFormat="1" ht="12.75" customHeight="1">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c r="BM232" s="18"/>
      <c r="BN232" s="18"/>
      <c r="BO232" s="18"/>
      <c r="BP232" s="18"/>
      <c r="BQ232" s="18"/>
      <c r="BR232" s="18"/>
      <c r="BS232" s="18"/>
      <c r="BT232" s="18"/>
      <c r="BU232" s="18"/>
      <c r="BV232" s="18"/>
      <c r="BW232" s="18"/>
      <c r="BX232" s="18"/>
      <c r="BY232" s="18"/>
      <c r="BZ232" s="18"/>
      <c r="CA232" s="18"/>
      <c r="CB232" s="18"/>
      <c r="CC232" s="18"/>
      <c r="CD232" s="18"/>
      <c r="CE232" s="18"/>
      <c r="CF232" s="18"/>
      <c r="CG232" s="18"/>
      <c r="CH232" s="18"/>
      <c r="CI232" s="18"/>
      <c r="CJ232" s="18"/>
      <c r="CK232" s="18"/>
      <c r="CL232" s="18"/>
      <c r="CM232" s="18"/>
      <c r="CN232" s="18"/>
      <c r="CO232" s="18"/>
      <c r="CP232" s="18"/>
      <c r="CQ232" s="18"/>
      <c r="CR232" s="18"/>
      <c r="CS232" s="18"/>
      <c r="CT232" s="18"/>
      <c r="CU232" s="18"/>
      <c r="CV232" s="18"/>
      <c r="CW232" s="18"/>
    </row>
    <row r="233" spans="3:101" customFormat="1" ht="12.75" customHeight="1">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c r="BS233" s="18"/>
      <c r="BT233" s="18"/>
      <c r="BU233" s="18"/>
      <c r="BV233" s="18"/>
      <c r="BW233" s="18"/>
      <c r="BX233" s="18"/>
      <c r="BY233" s="18"/>
      <c r="BZ233" s="18"/>
      <c r="CA233" s="18"/>
      <c r="CB233" s="18"/>
      <c r="CC233" s="18"/>
      <c r="CD233" s="18"/>
      <c r="CE233" s="18"/>
      <c r="CF233" s="18"/>
      <c r="CG233" s="18"/>
      <c r="CH233" s="18"/>
      <c r="CI233" s="18"/>
      <c r="CJ233" s="18"/>
      <c r="CK233" s="18"/>
      <c r="CL233" s="18"/>
      <c r="CM233" s="18"/>
      <c r="CN233" s="18"/>
      <c r="CO233" s="18"/>
      <c r="CP233" s="18"/>
      <c r="CQ233" s="18"/>
      <c r="CR233" s="18"/>
      <c r="CS233" s="18"/>
      <c r="CT233" s="18"/>
      <c r="CU233" s="18"/>
      <c r="CV233" s="18"/>
      <c r="CW233" s="18"/>
    </row>
    <row r="234" spans="3:101" customFormat="1" ht="12.75" customHeight="1">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c r="BP234" s="18"/>
      <c r="BQ234" s="18"/>
      <c r="BR234" s="18"/>
      <c r="BS234" s="18"/>
      <c r="BT234" s="18"/>
      <c r="BU234" s="18"/>
      <c r="BV234" s="18"/>
      <c r="BW234" s="18"/>
      <c r="BX234" s="18"/>
      <c r="BY234" s="18"/>
      <c r="BZ234" s="18"/>
      <c r="CA234" s="18"/>
      <c r="CB234" s="18"/>
      <c r="CC234" s="18"/>
      <c r="CD234" s="18"/>
      <c r="CE234" s="18"/>
      <c r="CF234" s="18"/>
      <c r="CG234" s="18"/>
      <c r="CH234" s="18"/>
      <c r="CI234" s="18"/>
      <c r="CJ234" s="18"/>
      <c r="CK234" s="18"/>
      <c r="CL234" s="18"/>
      <c r="CM234" s="18"/>
      <c r="CN234" s="18"/>
      <c r="CO234" s="18"/>
      <c r="CP234" s="18"/>
      <c r="CQ234" s="18"/>
      <c r="CR234" s="18"/>
      <c r="CS234" s="18"/>
      <c r="CT234" s="18"/>
      <c r="CU234" s="18"/>
      <c r="CV234" s="18"/>
      <c r="CW234" s="18"/>
    </row>
    <row r="235" spans="3:101" customFormat="1" ht="12.75" customHeight="1">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18"/>
      <c r="BS235" s="18"/>
      <c r="BT235" s="18"/>
      <c r="BU235" s="18"/>
      <c r="BV235" s="18"/>
      <c r="BW235" s="18"/>
      <c r="BX235" s="18"/>
      <c r="BY235" s="18"/>
      <c r="BZ235" s="18"/>
      <c r="CA235" s="18"/>
      <c r="CB235" s="18"/>
      <c r="CC235" s="18"/>
      <c r="CD235" s="18"/>
      <c r="CE235" s="18"/>
      <c r="CF235" s="18"/>
      <c r="CG235" s="18"/>
      <c r="CH235" s="18"/>
      <c r="CI235" s="18"/>
      <c r="CJ235" s="18"/>
      <c r="CK235" s="18"/>
      <c r="CL235" s="18"/>
      <c r="CM235" s="18"/>
      <c r="CN235" s="18"/>
      <c r="CO235" s="18"/>
      <c r="CP235" s="18"/>
      <c r="CQ235" s="18"/>
      <c r="CR235" s="18"/>
      <c r="CS235" s="18"/>
      <c r="CT235" s="18"/>
      <c r="CU235" s="18"/>
      <c r="CV235" s="18"/>
      <c r="CW235" s="18"/>
    </row>
    <row r="236" spans="3:101" customFormat="1" ht="12.75" customHeight="1">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c r="CA236" s="18"/>
      <c r="CB236" s="18"/>
      <c r="CC236" s="18"/>
      <c r="CD236" s="18"/>
      <c r="CE236" s="18"/>
      <c r="CF236" s="18"/>
      <c r="CG236" s="18"/>
      <c r="CH236" s="18"/>
      <c r="CI236" s="18"/>
      <c r="CJ236" s="18"/>
      <c r="CK236" s="18"/>
      <c r="CL236" s="18"/>
      <c r="CM236" s="18"/>
      <c r="CN236" s="18"/>
      <c r="CO236" s="18"/>
      <c r="CP236" s="18"/>
      <c r="CQ236" s="18"/>
      <c r="CR236" s="18"/>
      <c r="CS236" s="18"/>
      <c r="CT236" s="18"/>
      <c r="CU236" s="18"/>
      <c r="CV236" s="18"/>
      <c r="CW236" s="18"/>
    </row>
    <row r="237" spans="3:101" customFormat="1" ht="12.75" customHeight="1">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18"/>
      <c r="BV237" s="18"/>
      <c r="BW237" s="18"/>
      <c r="BX237" s="18"/>
      <c r="BY237" s="18"/>
      <c r="BZ237" s="18"/>
      <c r="CA237" s="18"/>
      <c r="CB237" s="18"/>
      <c r="CC237" s="18"/>
      <c r="CD237" s="18"/>
      <c r="CE237" s="18"/>
      <c r="CF237" s="18"/>
      <c r="CG237" s="18"/>
      <c r="CH237" s="18"/>
      <c r="CI237" s="18"/>
      <c r="CJ237" s="18"/>
      <c r="CK237" s="18"/>
      <c r="CL237" s="18"/>
      <c r="CM237" s="18"/>
      <c r="CN237" s="18"/>
      <c r="CO237" s="18"/>
      <c r="CP237" s="18"/>
      <c r="CQ237" s="18"/>
      <c r="CR237" s="18"/>
      <c r="CS237" s="18"/>
      <c r="CT237" s="18"/>
      <c r="CU237" s="18"/>
      <c r="CV237" s="18"/>
      <c r="CW237" s="18"/>
    </row>
    <row r="238" spans="3:101" customFormat="1" ht="12.75" customHeight="1">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c r="BP238" s="18"/>
      <c r="BQ238" s="18"/>
      <c r="BR238" s="18"/>
      <c r="BS238" s="18"/>
      <c r="BT238" s="18"/>
      <c r="BU238" s="18"/>
      <c r="BV238" s="18"/>
      <c r="BW238" s="18"/>
      <c r="BX238" s="18"/>
      <c r="BY238" s="18"/>
      <c r="BZ238" s="18"/>
      <c r="CA238" s="18"/>
      <c r="CB238" s="18"/>
      <c r="CC238" s="18"/>
      <c r="CD238" s="18"/>
      <c r="CE238" s="18"/>
      <c r="CF238" s="18"/>
      <c r="CG238" s="18"/>
      <c r="CH238" s="18"/>
      <c r="CI238" s="18"/>
      <c r="CJ238" s="18"/>
      <c r="CK238" s="18"/>
      <c r="CL238" s="18"/>
      <c r="CM238" s="18"/>
      <c r="CN238" s="18"/>
      <c r="CO238" s="18"/>
      <c r="CP238" s="18"/>
      <c r="CQ238" s="18"/>
      <c r="CR238" s="18"/>
      <c r="CS238" s="18"/>
      <c r="CT238" s="18"/>
      <c r="CU238" s="18"/>
      <c r="CV238" s="18"/>
      <c r="CW238" s="18"/>
    </row>
    <row r="239" spans="3:101" customFormat="1" ht="12.75" customHeight="1">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c r="BP239" s="18"/>
      <c r="BQ239" s="18"/>
      <c r="BR239" s="18"/>
      <c r="BS239" s="18"/>
      <c r="BT239" s="18"/>
      <c r="BU239" s="18"/>
      <c r="BV239" s="18"/>
      <c r="BW239" s="18"/>
      <c r="BX239" s="18"/>
      <c r="BY239" s="18"/>
      <c r="BZ239" s="18"/>
      <c r="CA239" s="18"/>
      <c r="CB239" s="18"/>
      <c r="CC239" s="18"/>
      <c r="CD239" s="18"/>
      <c r="CE239" s="18"/>
      <c r="CF239" s="18"/>
      <c r="CG239" s="18"/>
      <c r="CH239" s="18"/>
      <c r="CI239" s="18"/>
      <c r="CJ239" s="18"/>
      <c r="CK239" s="18"/>
      <c r="CL239" s="18"/>
      <c r="CM239" s="18"/>
      <c r="CN239" s="18"/>
      <c r="CO239" s="18"/>
      <c r="CP239" s="18"/>
      <c r="CQ239" s="18"/>
      <c r="CR239" s="18"/>
      <c r="CS239" s="18"/>
      <c r="CT239" s="18"/>
      <c r="CU239" s="18"/>
      <c r="CV239" s="18"/>
      <c r="CW239" s="18"/>
    </row>
    <row r="240" spans="3:101" customFormat="1" ht="12.75" customHeight="1">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c r="BM240" s="18"/>
      <c r="BN240" s="18"/>
      <c r="BO240" s="18"/>
      <c r="BP240" s="18"/>
      <c r="BQ240" s="18"/>
      <c r="BR240" s="18"/>
      <c r="BS240" s="18"/>
      <c r="BT240" s="18"/>
      <c r="BU240" s="18"/>
      <c r="BV240" s="18"/>
      <c r="BW240" s="18"/>
      <c r="BX240" s="18"/>
      <c r="BY240" s="18"/>
      <c r="BZ240" s="18"/>
      <c r="CA240" s="18"/>
      <c r="CB240" s="18"/>
      <c r="CC240" s="18"/>
      <c r="CD240" s="18"/>
      <c r="CE240" s="18"/>
      <c r="CF240" s="18"/>
      <c r="CG240" s="18"/>
      <c r="CH240" s="18"/>
      <c r="CI240" s="18"/>
      <c r="CJ240" s="18"/>
      <c r="CK240" s="18"/>
      <c r="CL240" s="18"/>
      <c r="CM240" s="18"/>
      <c r="CN240" s="18"/>
      <c r="CO240" s="18"/>
      <c r="CP240" s="18"/>
      <c r="CQ240" s="18"/>
      <c r="CR240" s="18"/>
      <c r="CS240" s="18"/>
      <c r="CT240" s="18"/>
      <c r="CU240" s="18"/>
      <c r="CV240" s="18"/>
      <c r="CW240" s="18"/>
    </row>
    <row r="241" spans="3:101" customFormat="1" ht="12.75" customHeight="1">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18"/>
      <c r="BS241" s="18"/>
      <c r="BT241" s="18"/>
      <c r="BU241" s="18"/>
      <c r="BV241" s="18"/>
      <c r="BW241" s="18"/>
      <c r="BX241" s="18"/>
      <c r="BY241" s="18"/>
      <c r="BZ241" s="18"/>
      <c r="CA241" s="18"/>
      <c r="CB241" s="18"/>
      <c r="CC241" s="18"/>
      <c r="CD241" s="18"/>
      <c r="CE241" s="18"/>
      <c r="CF241" s="18"/>
      <c r="CG241" s="18"/>
      <c r="CH241" s="18"/>
      <c r="CI241" s="18"/>
      <c r="CJ241" s="18"/>
      <c r="CK241" s="18"/>
      <c r="CL241" s="18"/>
      <c r="CM241" s="18"/>
      <c r="CN241" s="18"/>
      <c r="CO241" s="18"/>
      <c r="CP241" s="18"/>
      <c r="CQ241" s="18"/>
      <c r="CR241" s="18"/>
      <c r="CS241" s="18"/>
      <c r="CT241" s="18"/>
      <c r="CU241" s="18"/>
      <c r="CV241" s="18"/>
      <c r="CW241" s="18"/>
    </row>
    <row r="242" spans="3:101" customFormat="1" ht="12.75" customHeight="1">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c r="BM242" s="18"/>
      <c r="BN242" s="18"/>
      <c r="BO242" s="18"/>
      <c r="BP242" s="18"/>
      <c r="BQ242" s="18"/>
      <c r="BR242" s="18"/>
      <c r="BS242" s="18"/>
      <c r="BT242" s="18"/>
      <c r="BU242" s="18"/>
      <c r="BV242" s="18"/>
      <c r="BW242" s="18"/>
      <c r="BX242" s="18"/>
      <c r="BY242" s="18"/>
      <c r="BZ242" s="18"/>
      <c r="CA242" s="18"/>
      <c r="CB242" s="18"/>
      <c r="CC242" s="18"/>
      <c r="CD242" s="18"/>
      <c r="CE242" s="18"/>
      <c r="CF242" s="18"/>
      <c r="CG242" s="18"/>
      <c r="CH242" s="18"/>
      <c r="CI242" s="18"/>
      <c r="CJ242" s="18"/>
      <c r="CK242" s="18"/>
      <c r="CL242" s="18"/>
      <c r="CM242" s="18"/>
      <c r="CN242" s="18"/>
      <c r="CO242" s="18"/>
      <c r="CP242" s="18"/>
      <c r="CQ242" s="18"/>
      <c r="CR242" s="18"/>
      <c r="CS242" s="18"/>
      <c r="CT242" s="18"/>
      <c r="CU242" s="18"/>
      <c r="CV242" s="18"/>
      <c r="CW242" s="18"/>
    </row>
    <row r="243" spans="3:101" customFormat="1" ht="12.75" customHeight="1">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c r="BS243" s="18"/>
      <c r="BT243" s="18"/>
      <c r="BU243" s="18"/>
      <c r="BV243" s="18"/>
      <c r="BW243" s="18"/>
      <c r="BX243" s="18"/>
      <c r="BY243" s="18"/>
      <c r="BZ243" s="18"/>
      <c r="CA243" s="18"/>
      <c r="CB243" s="18"/>
      <c r="CC243" s="18"/>
      <c r="CD243" s="18"/>
      <c r="CE243" s="18"/>
      <c r="CF243" s="18"/>
      <c r="CG243" s="18"/>
      <c r="CH243" s="18"/>
      <c r="CI243" s="18"/>
      <c r="CJ243" s="18"/>
      <c r="CK243" s="18"/>
      <c r="CL243" s="18"/>
      <c r="CM243" s="18"/>
      <c r="CN243" s="18"/>
      <c r="CO243" s="18"/>
      <c r="CP243" s="18"/>
      <c r="CQ243" s="18"/>
      <c r="CR243" s="18"/>
      <c r="CS243" s="18"/>
      <c r="CT243" s="18"/>
      <c r="CU243" s="18"/>
      <c r="CV243" s="18"/>
      <c r="CW243" s="18"/>
    </row>
    <row r="244" spans="3:101" customFormat="1" ht="12.75" customHeight="1">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c r="BM244" s="18"/>
      <c r="BN244" s="18"/>
      <c r="BO244" s="18"/>
      <c r="BP244" s="18"/>
      <c r="BQ244" s="18"/>
      <c r="BR244" s="18"/>
      <c r="BS244" s="18"/>
      <c r="BT244" s="18"/>
      <c r="BU244" s="18"/>
      <c r="BV244" s="18"/>
      <c r="BW244" s="18"/>
      <c r="BX244" s="18"/>
      <c r="BY244" s="18"/>
      <c r="BZ244" s="18"/>
      <c r="CA244" s="18"/>
      <c r="CB244" s="18"/>
      <c r="CC244" s="18"/>
      <c r="CD244" s="18"/>
      <c r="CE244" s="18"/>
      <c r="CF244" s="18"/>
      <c r="CG244" s="18"/>
      <c r="CH244" s="18"/>
      <c r="CI244" s="18"/>
      <c r="CJ244" s="18"/>
      <c r="CK244" s="18"/>
      <c r="CL244" s="18"/>
      <c r="CM244" s="18"/>
      <c r="CN244" s="18"/>
      <c r="CO244" s="18"/>
      <c r="CP244" s="18"/>
      <c r="CQ244" s="18"/>
      <c r="CR244" s="18"/>
      <c r="CS244" s="18"/>
      <c r="CT244" s="18"/>
      <c r="CU244" s="18"/>
      <c r="CV244" s="18"/>
      <c r="CW244" s="18"/>
    </row>
    <row r="245" spans="3:101" customFormat="1" ht="12.75" customHeight="1">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c r="BP245" s="18"/>
      <c r="BQ245" s="18"/>
      <c r="BR245" s="18"/>
      <c r="BS245" s="18"/>
      <c r="BT245" s="18"/>
      <c r="BU245" s="18"/>
      <c r="BV245" s="18"/>
      <c r="BW245" s="18"/>
      <c r="BX245" s="18"/>
      <c r="BY245" s="18"/>
      <c r="BZ245" s="18"/>
      <c r="CA245" s="18"/>
      <c r="CB245" s="18"/>
      <c r="CC245" s="18"/>
      <c r="CD245" s="18"/>
      <c r="CE245" s="18"/>
      <c r="CF245" s="18"/>
      <c r="CG245" s="18"/>
      <c r="CH245" s="18"/>
      <c r="CI245" s="18"/>
      <c r="CJ245" s="18"/>
      <c r="CK245" s="18"/>
      <c r="CL245" s="18"/>
      <c r="CM245" s="18"/>
      <c r="CN245" s="18"/>
      <c r="CO245" s="18"/>
      <c r="CP245" s="18"/>
      <c r="CQ245" s="18"/>
      <c r="CR245" s="18"/>
      <c r="CS245" s="18"/>
      <c r="CT245" s="18"/>
      <c r="CU245" s="18"/>
      <c r="CV245" s="18"/>
      <c r="CW245" s="18"/>
    </row>
    <row r="246" spans="3:101" customFormat="1" ht="12.75" customHeight="1"/>
    <row r="247" spans="3:101" customFormat="1" ht="12.75" customHeight="1"/>
    <row r="248" spans="3:101" customFormat="1" ht="12.75" customHeight="1"/>
    <row r="249" spans="3:101" customFormat="1" ht="12.75" customHeight="1"/>
    <row r="250" spans="3:101" customFormat="1" ht="12.75" customHeight="1"/>
    <row r="251" spans="3:101" customFormat="1" ht="12.75" customHeight="1"/>
    <row r="252" spans="3:101" customFormat="1" ht="12.75" customHeight="1"/>
    <row r="253" spans="3:101" customFormat="1" ht="12.75" customHeight="1"/>
    <row r="254" spans="3:101" customFormat="1" ht="12.75" customHeight="1"/>
    <row r="255" spans="3:101" customFormat="1" ht="12.75" customHeight="1"/>
    <row r="256" spans="3:101" customFormat="1" ht="12.75" customHeight="1"/>
    <row r="257" customFormat="1" ht="12.75" customHeight="1"/>
    <row r="258" customFormat="1" ht="12.75" customHeight="1"/>
    <row r="259" customFormat="1" ht="12.75" customHeight="1"/>
    <row r="260" customFormat="1" ht="12.75" customHeight="1"/>
    <row r="261" customFormat="1" ht="12.75" customHeight="1"/>
    <row r="262" customFormat="1" ht="12.75" customHeight="1"/>
    <row r="263" customFormat="1" ht="12.75" customHeight="1"/>
    <row r="264" customFormat="1" ht="12.75" customHeight="1"/>
    <row r="265" customFormat="1" ht="12.75" customHeight="1"/>
    <row r="266" customFormat="1" ht="12.75" customHeight="1"/>
    <row r="267" customFormat="1" ht="12.75" customHeight="1"/>
    <row r="268" customFormat="1" ht="12.75" customHeight="1"/>
    <row r="269" customFormat="1" ht="12.75" customHeight="1"/>
    <row r="270" customFormat="1" ht="12.75" customHeight="1"/>
    <row r="271" customFormat="1" ht="12.75" customHeight="1"/>
    <row r="272" customFormat="1" ht="12.75" customHeight="1"/>
    <row r="273" customFormat="1" ht="12.75" customHeight="1"/>
    <row r="274" customFormat="1" ht="12.75" customHeight="1"/>
    <row r="275" customFormat="1" ht="12.75" customHeight="1"/>
    <row r="276" customFormat="1" ht="12.75" customHeight="1"/>
    <row r="277" customFormat="1" ht="12.75" customHeight="1"/>
    <row r="278" customFormat="1" ht="12.75" customHeight="1"/>
    <row r="279" customFormat="1" ht="12.75" customHeight="1"/>
    <row r="280" customFormat="1" ht="12.75" customHeight="1"/>
    <row r="281" customFormat="1" ht="12.75" customHeight="1"/>
    <row r="282" customFormat="1" ht="12.75" customHeight="1"/>
    <row r="283" customFormat="1" ht="12.75" customHeight="1"/>
    <row r="284" customFormat="1" ht="12.75" customHeight="1"/>
    <row r="285" customFormat="1" ht="12.75" customHeight="1"/>
    <row r="286" customFormat="1" ht="12.75" customHeight="1"/>
    <row r="287" customFormat="1" ht="12.75" customHeight="1"/>
    <row r="288" customFormat="1" ht="12.75" customHeight="1"/>
    <row r="289" customFormat="1" ht="12.75" customHeight="1"/>
    <row r="290" customFormat="1" ht="12.75" customHeight="1"/>
    <row r="291" customFormat="1" ht="12.75" customHeight="1"/>
    <row r="292" customFormat="1" ht="12.75" customHeight="1"/>
    <row r="293" customFormat="1" ht="12.75" customHeight="1"/>
    <row r="294" customFormat="1" ht="12.75" customHeight="1"/>
    <row r="295" customFormat="1" ht="12.75" customHeight="1"/>
    <row r="296" customFormat="1" ht="12.75" customHeight="1"/>
    <row r="297" customFormat="1" ht="12.75" customHeight="1"/>
    <row r="298" customFormat="1" ht="12.75" customHeight="1"/>
    <row r="299" customFormat="1" ht="12.75" customHeight="1"/>
    <row r="300" customFormat="1" ht="12.75" customHeight="1"/>
    <row r="301" customFormat="1" ht="12.75" customHeight="1"/>
    <row r="302" customFormat="1" ht="12.75" customHeight="1"/>
    <row r="303" customFormat="1" ht="12.75" customHeight="1"/>
    <row r="304" customFormat="1" ht="12.75" customHeight="1"/>
    <row r="305" customFormat="1" ht="12.75" customHeight="1"/>
    <row r="306" customFormat="1" ht="12.75" customHeight="1"/>
    <row r="307" customFormat="1" ht="12.75" customHeight="1"/>
    <row r="308" customFormat="1" ht="12.75" customHeight="1"/>
    <row r="309" customFormat="1" ht="12.75" customHeight="1"/>
    <row r="310" customFormat="1" ht="12.75" customHeight="1"/>
    <row r="311" customFormat="1" ht="12.75" customHeight="1"/>
    <row r="312" customFormat="1" ht="12.75" customHeight="1"/>
    <row r="313" customFormat="1" ht="12.75" customHeight="1"/>
    <row r="314" customFormat="1" ht="12.75" customHeight="1"/>
    <row r="315" customFormat="1" ht="12.75" customHeight="1"/>
    <row r="316" customFormat="1" ht="12.75" customHeight="1"/>
    <row r="317" customFormat="1" ht="12.75" customHeight="1"/>
    <row r="318" customFormat="1" ht="12.75" customHeight="1"/>
    <row r="319" customFormat="1" ht="12.75" customHeight="1"/>
    <row r="320" customFormat="1" ht="12.75" customHeight="1"/>
    <row r="321" customFormat="1" ht="12.75" customHeight="1"/>
    <row r="322" customFormat="1" ht="12.75" customHeight="1"/>
    <row r="323" customFormat="1" ht="12.75" customHeight="1"/>
    <row r="324" customFormat="1" ht="12.75" customHeight="1"/>
    <row r="325" customFormat="1" ht="12.75" customHeight="1"/>
    <row r="326" customFormat="1" ht="12.75" customHeight="1"/>
    <row r="327" customFormat="1" ht="12.75" customHeight="1"/>
    <row r="328" customFormat="1" ht="12.75" customHeight="1"/>
    <row r="329" customFormat="1" ht="12.75" customHeight="1"/>
    <row r="330" customFormat="1" ht="12.75" customHeight="1"/>
    <row r="331" customFormat="1" ht="12.75" customHeight="1"/>
    <row r="332" customFormat="1" ht="12.75" customHeight="1"/>
    <row r="333" customFormat="1" ht="12.75" customHeight="1"/>
    <row r="334" customFormat="1" ht="12.75" customHeight="1"/>
    <row r="335" customFormat="1" ht="12.75" customHeight="1"/>
    <row r="336" customFormat="1" ht="12.75" customHeight="1"/>
    <row r="337" customFormat="1" ht="12.75" customHeight="1"/>
    <row r="338" customFormat="1" ht="12.75" customHeight="1"/>
    <row r="339" customFormat="1" ht="12.75" customHeight="1"/>
    <row r="340" customFormat="1" ht="12.75" customHeight="1"/>
    <row r="341" customFormat="1" ht="12.75" customHeight="1"/>
    <row r="342" customFormat="1" ht="12.75" customHeight="1"/>
    <row r="343" customFormat="1" ht="12.75" customHeight="1"/>
    <row r="344" customFormat="1" ht="12.75" customHeight="1"/>
    <row r="345" customFormat="1" ht="12.75" customHeight="1"/>
    <row r="346" customFormat="1" ht="12.75" customHeight="1"/>
    <row r="347" customFormat="1" ht="12.75" customHeight="1"/>
    <row r="348" customFormat="1" ht="12.75" customHeight="1"/>
    <row r="349" customFormat="1" ht="12.75" customHeight="1"/>
    <row r="350" customFormat="1" ht="12.75" customHeight="1"/>
    <row r="351" customFormat="1" ht="12.75" customHeight="1"/>
    <row r="352" customFormat="1" ht="12.75" customHeight="1"/>
    <row r="353" customFormat="1" ht="12.75" customHeight="1"/>
    <row r="354" customFormat="1" ht="12.75" customHeight="1"/>
    <row r="355" customFormat="1" ht="12.75" customHeight="1"/>
    <row r="356" customFormat="1" ht="12.75" customHeight="1"/>
    <row r="357" customFormat="1" ht="12.75" customHeight="1"/>
    <row r="358" customFormat="1" ht="12.75" customHeight="1"/>
    <row r="359" customFormat="1" ht="12.75" customHeight="1"/>
    <row r="360" customFormat="1" ht="12.75" customHeight="1"/>
    <row r="361" customFormat="1" ht="12.75" customHeight="1"/>
    <row r="362" customFormat="1" ht="12.75" customHeight="1"/>
    <row r="363" customFormat="1" ht="12.75" customHeight="1"/>
    <row r="364" customFormat="1" ht="12.75" customHeight="1"/>
    <row r="365" customFormat="1" ht="12.75" customHeight="1"/>
    <row r="366" customFormat="1" ht="12.75" customHeight="1"/>
    <row r="367" customFormat="1" ht="12.75" customHeight="1"/>
    <row r="368" customFormat="1" ht="12.75" customHeight="1"/>
    <row r="369" customFormat="1" ht="12.75" customHeight="1"/>
    <row r="370" customFormat="1" ht="12.75" customHeight="1"/>
    <row r="371" customFormat="1" ht="12.75" customHeight="1"/>
    <row r="372" customFormat="1" ht="12.75" customHeight="1"/>
    <row r="373" customFormat="1" ht="12.75" customHeight="1"/>
    <row r="374" customFormat="1" ht="12.75" customHeight="1"/>
    <row r="375" customFormat="1" ht="12.75" customHeight="1"/>
    <row r="376" customFormat="1" ht="12.75" customHeight="1"/>
    <row r="377" customFormat="1" ht="12.75" customHeight="1"/>
    <row r="378" customFormat="1" ht="12.75" customHeight="1"/>
    <row r="379" customFormat="1" ht="12.75" customHeight="1"/>
    <row r="380" customFormat="1" ht="12.75" customHeight="1"/>
    <row r="381" customFormat="1" ht="12.75" customHeight="1"/>
    <row r="382" customFormat="1" ht="12.75" customHeight="1"/>
    <row r="383" customFormat="1" ht="12.75" customHeight="1"/>
    <row r="384" customFormat="1" ht="12.75" customHeight="1"/>
    <row r="385" customFormat="1" ht="12.75" customHeight="1"/>
    <row r="386" customFormat="1" ht="12.75" customHeight="1"/>
    <row r="387" customFormat="1" ht="12.75" customHeight="1"/>
    <row r="388" customFormat="1" ht="12.75" customHeight="1"/>
    <row r="389" customFormat="1" ht="12.75" customHeight="1"/>
    <row r="390" customFormat="1" ht="12.75" customHeight="1"/>
    <row r="391" customFormat="1" ht="12.75" customHeight="1"/>
    <row r="392" customFormat="1" ht="12.75" customHeight="1"/>
    <row r="393" customFormat="1" ht="12.75" customHeight="1"/>
    <row r="394" customFormat="1" ht="12.75" customHeight="1"/>
    <row r="395" customFormat="1" ht="12.75" customHeight="1"/>
    <row r="396" customFormat="1" ht="12.75" customHeight="1"/>
    <row r="397" customFormat="1" ht="12.75" customHeight="1"/>
    <row r="398" customFormat="1" ht="12.75" customHeight="1"/>
    <row r="399" customFormat="1" ht="12.75" customHeight="1"/>
    <row r="400" customFormat="1" ht="12.75" customHeight="1"/>
    <row r="401" customFormat="1" ht="12.75" customHeight="1"/>
    <row r="402" customFormat="1" ht="12.75" customHeight="1"/>
    <row r="403" customFormat="1" ht="12.75" customHeight="1"/>
    <row r="404" customFormat="1" ht="12.75" customHeight="1"/>
    <row r="405" customFormat="1" ht="12.75" customHeight="1"/>
    <row r="406" customFormat="1" ht="12.75" customHeight="1"/>
    <row r="407" customFormat="1" ht="12.75" customHeight="1"/>
    <row r="408" customFormat="1" ht="12.75" customHeight="1"/>
    <row r="409" customFormat="1" ht="12.75" customHeight="1"/>
    <row r="410" customFormat="1" ht="12.75" customHeight="1"/>
    <row r="411" customFormat="1" ht="12.75" customHeight="1"/>
    <row r="412" customFormat="1" ht="12.75" customHeight="1"/>
    <row r="413" customFormat="1" ht="12.75" customHeight="1"/>
    <row r="414" customFormat="1" ht="12.75" customHeight="1"/>
    <row r="415" customFormat="1" ht="12.75" customHeight="1"/>
    <row r="416" customFormat="1" ht="12.75" customHeight="1"/>
    <row r="417" customFormat="1" ht="12.75" customHeight="1"/>
    <row r="418" customFormat="1" ht="12.75" customHeight="1"/>
    <row r="419" customFormat="1" ht="12.75" customHeight="1"/>
    <row r="420" customFormat="1" ht="12.75" customHeight="1"/>
    <row r="421" customFormat="1" ht="12.75" customHeight="1"/>
    <row r="422" customFormat="1" ht="12.75" customHeight="1"/>
    <row r="423" customFormat="1" ht="12.75" customHeight="1"/>
    <row r="424" customFormat="1" ht="12.75" customHeight="1"/>
    <row r="425" customFormat="1" ht="12.75" customHeight="1"/>
    <row r="426" customFormat="1" ht="12.75" customHeight="1"/>
    <row r="427" customFormat="1" ht="12.75" customHeight="1"/>
    <row r="428" customFormat="1" ht="12.75" customHeight="1"/>
    <row r="429" customFormat="1" ht="12.75" customHeight="1"/>
    <row r="430" customFormat="1" ht="12.75" customHeight="1"/>
    <row r="431" customFormat="1" ht="12.75" customHeight="1"/>
    <row r="432" customFormat="1" ht="12.75" customHeight="1"/>
    <row r="433" customFormat="1" ht="12.75" customHeight="1"/>
    <row r="434" customFormat="1" ht="12.75" customHeight="1"/>
    <row r="435" customFormat="1" ht="12.75" customHeight="1"/>
    <row r="436" customFormat="1" ht="12.75" customHeight="1"/>
    <row r="437" customFormat="1" ht="12.75" customHeight="1"/>
    <row r="438" customFormat="1" ht="12.75" customHeight="1"/>
    <row r="439" customFormat="1" ht="12.75" customHeight="1"/>
    <row r="440" customFormat="1" ht="12.75" customHeight="1"/>
    <row r="441" customFormat="1" ht="12.75" customHeight="1"/>
    <row r="442" customFormat="1" ht="12.75" customHeight="1"/>
    <row r="443" customFormat="1" ht="12.75" customHeight="1"/>
    <row r="444" customFormat="1" ht="12.75" customHeight="1"/>
    <row r="445" customFormat="1" ht="12.75" customHeight="1"/>
    <row r="446" customFormat="1" ht="12.75" customHeight="1"/>
    <row r="447" customFormat="1" ht="12.75" customHeight="1"/>
    <row r="448" customFormat="1" ht="12.75" customHeight="1"/>
    <row r="449" customFormat="1" ht="12.75" customHeight="1"/>
    <row r="450" customFormat="1" ht="12.75" customHeight="1"/>
    <row r="451" customFormat="1" ht="12.75" customHeight="1"/>
    <row r="452" customFormat="1" ht="12.75" customHeight="1"/>
    <row r="453" customFormat="1" ht="12.75" customHeight="1"/>
    <row r="454" customFormat="1" ht="12.75" customHeight="1"/>
    <row r="455" customFormat="1" ht="12.75" customHeight="1"/>
    <row r="456" customFormat="1" ht="12.75" customHeight="1"/>
    <row r="457" customFormat="1" ht="12.75" customHeight="1"/>
    <row r="458" customFormat="1" ht="12.75" customHeight="1"/>
    <row r="459" customFormat="1" ht="12.75" customHeight="1"/>
    <row r="460" customFormat="1" ht="12.75" customHeight="1"/>
    <row r="461" customFormat="1" ht="12.75" customHeight="1"/>
    <row r="462" customFormat="1" ht="12.75" customHeight="1"/>
    <row r="463" customFormat="1" ht="12.75" customHeight="1"/>
    <row r="464" customFormat="1" ht="12.75" customHeight="1"/>
    <row r="465" customFormat="1" ht="12.75" customHeight="1"/>
    <row r="466" customFormat="1" ht="12.75" customHeight="1"/>
    <row r="467" customFormat="1" ht="12.75" customHeight="1"/>
    <row r="468" customFormat="1" ht="12.75" customHeight="1"/>
    <row r="469" customFormat="1" ht="12.75" customHeight="1"/>
    <row r="470" customFormat="1" ht="12.75" customHeight="1"/>
    <row r="471" customFormat="1" ht="12.75" customHeight="1"/>
    <row r="472" customFormat="1" ht="12.75" customHeight="1"/>
    <row r="473" customFormat="1" ht="12.75" customHeight="1"/>
    <row r="474" customFormat="1" ht="12.75" customHeight="1"/>
    <row r="475" customFormat="1" ht="12.75" customHeight="1"/>
    <row r="476" customFormat="1" ht="12.75" customHeight="1"/>
    <row r="477" customFormat="1" ht="12.75" customHeight="1"/>
    <row r="478" customFormat="1" ht="12.75" customHeight="1"/>
    <row r="479" customFormat="1" ht="12.75" customHeight="1"/>
    <row r="480" customFormat="1" ht="12.75" customHeight="1"/>
    <row r="481" customFormat="1" ht="12.75" customHeight="1"/>
    <row r="482" customFormat="1" ht="12.75" customHeight="1"/>
    <row r="483" customFormat="1" ht="12.75" customHeight="1"/>
    <row r="484" customFormat="1" ht="12.75" customHeight="1"/>
    <row r="485" customFormat="1" ht="12.75" customHeight="1"/>
    <row r="486" customFormat="1" ht="12.75" customHeight="1"/>
    <row r="487" customFormat="1" ht="12.75" customHeight="1"/>
    <row r="488" customFormat="1" ht="12.75" customHeight="1"/>
    <row r="489" customFormat="1" ht="12.75" customHeight="1"/>
    <row r="490" customFormat="1" ht="12.75" customHeight="1"/>
    <row r="491" customFormat="1" ht="12.75" customHeight="1"/>
    <row r="492" customFormat="1" ht="12.75" customHeight="1"/>
    <row r="493" customFormat="1" ht="12.75" customHeight="1"/>
    <row r="494" customFormat="1" ht="12.75" customHeight="1"/>
    <row r="495" customFormat="1" ht="12.75" customHeight="1"/>
    <row r="496" customFormat="1" ht="12.75" customHeight="1"/>
    <row r="497" customFormat="1" ht="12.75" customHeight="1"/>
    <row r="498" customFormat="1" ht="12.75" customHeight="1"/>
    <row r="499" customFormat="1" ht="12.75" customHeight="1"/>
    <row r="500" customFormat="1" ht="12.75" customHeight="1"/>
    <row r="501" customFormat="1" ht="12.75" customHeight="1"/>
    <row r="502" customFormat="1" ht="12.75" customHeight="1"/>
    <row r="503" customFormat="1" ht="12.75" customHeight="1"/>
    <row r="504" customFormat="1" ht="12.75" customHeight="1"/>
    <row r="505" customFormat="1" ht="12.75" customHeight="1"/>
    <row r="506" customFormat="1" ht="12.75" customHeight="1"/>
    <row r="507" customFormat="1" ht="12.75" customHeight="1"/>
    <row r="508" customFormat="1" ht="12.75" customHeight="1"/>
    <row r="509" customFormat="1" ht="12.75" customHeight="1"/>
    <row r="510" customFormat="1" ht="12.75" customHeight="1"/>
    <row r="511" customFormat="1" ht="12.75" customHeight="1"/>
    <row r="512" customFormat="1" ht="12.75" customHeight="1"/>
    <row r="513" customFormat="1" ht="12.75" customHeight="1"/>
    <row r="514" customFormat="1" ht="12.75" customHeight="1"/>
    <row r="515" customFormat="1" ht="12.75" customHeight="1"/>
    <row r="516" customFormat="1" ht="12.75" customHeight="1"/>
    <row r="517" customFormat="1" ht="12.75" customHeight="1"/>
    <row r="518" customFormat="1" ht="12.75" customHeight="1"/>
    <row r="519" customFormat="1" ht="12.75" customHeight="1"/>
    <row r="520" customFormat="1" ht="12.75" customHeight="1"/>
    <row r="521" customFormat="1" ht="12.75" customHeight="1"/>
    <row r="522" customFormat="1" ht="12.75" customHeight="1"/>
    <row r="523" customFormat="1" ht="12.75" customHeight="1"/>
    <row r="524" customFormat="1" ht="12.75" customHeight="1"/>
    <row r="525" customFormat="1" ht="12.75" customHeight="1"/>
    <row r="526" customFormat="1" ht="12.75" customHeight="1"/>
    <row r="527" customFormat="1" ht="12.75" customHeight="1"/>
    <row r="528" customFormat="1" ht="12.75" customHeight="1"/>
    <row r="529" customFormat="1" ht="12.75" customHeight="1"/>
    <row r="530" customFormat="1" ht="12.75" customHeight="1"/>
    <row r="531" customFormat="1" ht="12.75" customHeight="1"/>
    <row r="532" customFormat="1" ht="12.75" customHeight="1"/>
    <row r="533" customFormat="1" ht="12.75" customHeight="1"/>
    <row r="534" customFormat="1" ht="12.75" customHeight="1"/>
    <row r="535" customFormat="1" ht="12.75" customHeight="1"/>
    <row r="536" customFormat="1" ht="12.75" customHeight="1"/>
    <row r="537" customFormat="1" ht="12.75" customHeight="1"/>
    <row r="538" customFormat="1" ht="13.15" customHeight="1"/>
    <row r="539" customFormat="1" ht="13.15" customHeight="1"/>
    <row r="540" customFormat="1" ht="13.15" customHeight="1"/>
    <row r="541" customFormat="1" ht="13.15" customHeight="1"/>
    <row r="542" customFormat="1" ht="13.15" customHeight="1"/>
    <row r="543" customFormat="1" ht="13.15" customHeight="1"/>
    <row r="544" customFormat="1" ht="12.75" customHeight="1"/>
    <row r="545" customFormat="1" ht="12.75" customHeight="1"/>
    <row r="546" customFormat="1" ht="12.75" customHeight="1"/>
    <row r="547" customFormat="1" ht="12.75" customHeight="1"/>
    <row r="548" customFormat="1" ht="12.75" customHeight="1"/>
    <row r="549" customFormat="1" ht="12.75" customHeight="1"/>
    <row r="550" customFormat="1" ht="12.75" customHeight="1"/>
    <row r="551" customFormat="1" ht="12.75" customHeight="1"/>
    <row r="552" customFormat="1" ht="12.75" customHeight="1"/>
    <row r="553" customFormat="1" ht="12.75" customHeight="1"/>
    <row r="554" customFormat="1" ht="12.75" customHeight="1"/>
    <row r="555" customFormat="1" ht="12.75" customHeight="1"/>
    <row r="556" customFormat="1" ht="12.75" customHeight="1"/>
    <row r="557" customFormat="1" ht="12.75" customHeight="1"/>
    <row r="558" customFormat="1" ht="12.75" customHeigh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row r="1001" customFormat="1"/>
    <row r="1002" customFormat="1"/>
    <row r="1003" customFormat="1"/>
    <row r="1004" customFormat="1"/>
    <row r="1005" customFormat="1"/>
    <row r="1006" customFormat="1"/>
    <row r="1007" customFormat="1"/>
    <row r="1008" customFormat="1"/>
    <row r="1009" customFormat="1"/>
    <row r="1010" customFormat="1"/>
    <row r="1011" customFormat="1"/>
    <row r="1012" customFormat="1"/>
    <row r="1013" customFormat="1"/>
    <row r="1014" customFormat="1"/>
    <row r="1015" customFormat="1"/>
    <row r="1016" customFormat="1"/>
    <row r="1017" customFormat="1"/>
    <row r="1018" customFormat="1"/>
    <row r="1019" customFormat="1"/>
    <row r="1020" customFormat="1"/>
    <row r="1021" customFormat="1"/>
    <row r="1022" customFormat="1"/>
    <row r="1023" customFormat="1"/>
    <row r="1024" customFormat="1"/>
    <row r="1025" customFormat="1"/>
    <row r="1026" customFormat="1"/>
    <row r="1027" customFormat="1"/>
    <row r="1028" customFormat="1"/>
    <row r="1029" customFormat="1"/>
    <row r="1030" customFormat="1"/>
    <row r="1031" customFormat="1"/>
    <row r="1032" customFormat="1"/>
    <row r="1033" customFormat="1"/>
    <row r="1034" customFormat="1"/>
    <row r="1035" customFormat="1"/>
    <row r="1036" customFormat="1"/>
    <row r="1037" customFormat="1"/>
    <row r="1038" customFormat="1"/>
    <row r="1039" customFormat="1"/>
    <row r="1040" customFormat="1"/>
    <row r="1041" customFormat="1"/>
    <row r="1042" customFormat="1"/>
    <row r="1043" customFormat="1"/>
    <row r="1044" customFormat="1"/>
    <row r="1045" customFormat="1"/>
    <row r="1046" customFormat="1"/>
    <row r="1047" customFormat="1"/>
    <row r="1048" customFormat="1"/>
    <row r="1049" customFormat="1"/>
    <row r="1050" customFormat="1"/>
    <row r="1051" customFormat="1"/>
    <row r="1052" customFormat="1"/>
    <row r="1053" customFormat="1"/>
    <row r="1054" customFormat="1"/>
    <row r="1055" customFormat="1"/>
    <row r="1056" customFormat="1"/>
    <row r="1057" customFormat="1"/>
    <row r="1058" customFormat="1"/>
    <row r="1059" customFormat="1"/>
    <row r="1060" customFormat="1"/>
    <row r="1061" customFormat="1"/>
    <row r="1062" customFormat="1"/>
    <row r="1063" customFormat="1"/>
    <row r="1064" customFormat="1"/>
    <row r="1065" customFormat="1"/>
    <row r="1066" customFormat="1"/>
    <row r="1067" customFormat="1"/>
    <row r="1068" customFormat="1"/>
    <row r="1069" customFormat="1"/>
    <row r="1070" customFormat="1"/>
    <row r="1071" customFormat="1"/>
    <row r="1072" customFormat="1"/>
    <row r="1073" customFormat="1"/>
    <row r="1074" customFormat="1"/>
    <row r="1075" customFormat="1"/>
    <row r="1076" customFormat="1"/>
    <row r="1077" customFormat="1"/>
    <row r="1078" customFormat="1"/>
    <row r="1079" customFormat="1"/>
    <row r="1080" customFormat="1"/>
    <row r="1081" customFormat="1"/>
    <row r="1082" customFormat="1"/>
    <row r="1083" customFormat="1"/>
    <row r="1084" customFormat="1"/>
    <row r="1085" customFormat="1"/>
    <row r="1086" customFormat="1"/>
    <row r="1087" customFormat="1"/>
    <row r="1088" customFormat="1"/>
    <row r="1089" customFormat="1"/>
    <row r="1090" customFormat="1"/>
    <row r="1091" customFormat="1"/>
    <row r="1092" customFormat="1"/>
    <row r="1093" customFormat="1"/>
    <row r="1094" customFormat="1"/>
    <row r="1095" customFormat="1"/>
    <row r="1096" customFormat="1"/>
    <row r="1097" customFormat="1"/>
    <row r="1098" customFormat="1"/>
    <row r="1099" customFormat="1"/>
    <row r="1100" customFormat="1"/>
    <row r="1101" customFormat="1"/>
    <row r="1102" customFormat="1"/>
    <row r="1103" customFormat="1"/>
    <row r="1104" customFormat="1"/>
    <row r="1105" customFormat="1"/>
    <row r="1106" customFormat="1"/>
    <row r="1107" customFormat="1"/>
    <row r="1108" customFormat="1"/>
    <row r="1109" customFormat="1"/>
    <row r="1110" customFormat="1"/>
    <row r="1111" customFormat="1"/>
    <row r="1112" customFormat="1"/>
    <row r="1113" customFormat="1"/>
    <row r="1114" customFormat="1"/>
    <row r="1115" customFormat="1"/>
    <row r="1116" customFormat="1"/>
    <row r="1117" customFormat="1"/>
    <row r="1118" customFormat="1"/>
    <row r="1119" customFormat="1"/>
    <row r="1120" customFormat="1"/>
    <row r="1121" customFormat="1"/>
    <row r="1122" customFormat="1"/>
    <row r="1123" customFormat="1"/>
    <row r="1124" customFormat="1"/>
    <row r="1125" customFormat="1"/>
    <row r="1126" customFormat="1"/>
    <row r="1127" customFormat="1"/>
    <row r="1128" customFormat="1"/>
    <row r="1129" customFormat="1"/>
    <row r="1130" customFormat="1"/>
    <row r="1131" customFormat="1"/>
    <row r="1132" customFormat="1"/>
    <row r="1133" customFormat="1"/>
    <row r="1134" customFormat="1"/>
    <row r="1135" customFormat="1"/>
    <row r="1136" customFormat="1"/>
    <row r="1137" customFormat="1"/>
    <row r="1138" customFormat="1"/>
    <row r="1139" customFormat="1"/>
    <row r="1140" customFormat="1"/>
    <row r="1141" customFormat="1"/>
    <row r="1142" customFormat="1"/>
    <row r="1143" customFormat="1"/>
    <row r="1144" customFormat="1"/>
    <row r="1145" customFormat="1"/>
    <row r="1146" customFormat="1"/>
    <row r="1147" customFormat="1"/>
    <row r="1148" customFormat="1"/>
    <row r="1149" customFormat="1"/>
    <row r="1150" customFormat="1"/>
    <row r="1151" customFormat="1"/>
    <row r="1152" customFormat="1"/>
    <row r="1153" customFormat="1"/>
    <row r="1154" customFormat="1"/>
    <row r="1155" customFormat="1"/>
    <row r="1156" customFormat="1"/>
    <row r="1157" customFormat="1"/>
    <row r="1158" customFormat="1"/>
    <row r="1159" customFormat="1"/>
    <row r="1160" customFormat="1"/>
    <row r="1161" customFormat="1"/>
    <row r="1162" customFormat="1"/>
    <row r="1163" customFormat="1"/>
    <row r="1164" customFormat="1"/>
    <row r="1165" customFormat="1"/>
    <row r="1166" customFormat="1"/>
    <row r="1167" customFormat="1"/>
    <row r="1168" customFormat="1"/>
    <row r="1169" customFormat="1"/>
    <row r="1170" customFormat="1"/>
    <row r="1171" customFormat="1"/>
    <row r="1172" customFormat="1"/>
    <row r="1173" customFormat="1"/>
    <row r="1174" customFormat="1"/>
    <row r="1175" customFormat="1"/>
    <row r="1176" customFormat="1"/>
    <row r="1177" customFormat="1"/>
    <row r="1178" customFormat="1"/>
    <row r="1179" customFormat="1"/>
    <row r="1180" customFormat="1"/>
    <row r="1181" customFormat="1"/>
    <row r="1182" customFormat="1"/>
    <row r="1183" customFormat="1"/>
    <row r="1184" customFormat="1"/>
    <row r="1185" customFormat="1"/>
    <row r="1186" customFormat="1"/>
    <row r="1187" customFormat="1"/>
    <row r="1188" customFormat="1"/>
    <row r="1189" customFormat="1"/>
    <row r="1190" customFormat="1"/>
    <row r="1191" customFormat="1"/>
    <row r="1192" customFormat="1"/>
    <row r="1193" customFormat="1"/>
    <row r="1194" customFormat="1"/>
    <row r="1195" customFormat="1"/>
    <row r="1196" customFormat="1"/>
    <row r="1197" customFormat="1"/>
    <row r="1198" customFormat="1"/>
    <row r="1199" customFormat="1"/>
    <row r="1200" customFormat="1"/>
    <row r="1201" customFormat="1"/>
    <row r="1202" customFormat="1"/>
    <row r="1203" customFormat="1"/>
    <row r="1204" customFormat="1"/>
    <row r="1205" customFormat="1"/>
    <row r="1206" customFormat="1"/>
    <row r="1207" customFormat="1"/>
    <row r="1208" customFormat="1"/>
    <row r="1209" customFormat="1"/>
    <row r="1210" customFormat="1"/>
    <row r="1211" customFormat="1"/>
    <row r="1212" customFormat="1"/>
    <row r="1213" customFormat="1"/>
    <row r="1214" customFormat="1"/>
    <row r="1215" customFormat="1"/>
    <row r="1216" customFormat="1"/>
    <row r="1217" customFormat="1"/>
    <row r="1218" customFormat="1"/>
    <row r="1219" customFormat="1"/>
    <row r="1220" customFormat="1"/>
    <row r="1221" customFormat="1"/>
    <row r="1222" customFormat="1"/>
    <row r="1223" customFormat="1"/>
    <row r="1224" customFormat="1"/>
    <row r="1225" customFormat="1"/>
    <row r="1226" customFormat="1"/>
    <row r="1227" customFormat="1"/>
    <row r="1228" customFormat="1"/>
    <row r="1229" customFormat="1"/>
    <row r="1230" customFormat="1"/>
    <row r="1231" customFormat="1"/>
    <row r="1232" customFormat="1"/>
    <row r="1233" customFormat="1"/>
    <row r="1234" customFormat="1"/>
    <row r="1235" customFormat="1"/>
    <row r="1236" customFormat="1"/>
    <row r="1237" customFormat="1"/>
    <row r="1238" customFormat="1"/>
    <row r="1239" customFormat="1"/>
    <row r="1240" customFormat="1"/>
    <row r="1241" customFormat="1"/>
    <row r="1242" customFormat="1"/>
    <row r="1243" customFormat="1"/>
    <row r="1244" customFormat="1"/>
    <row r="1245" customFormat="1"/>
    <row r="1246" customFormat="1"/>
    <row r="1247" customFormat="1"/>
    <row r="1248" customFormat="1"/>
    <row r="1249" customFormat="1"/>
    <row r="1250" customFormat="1"/>
    <row r="1251" customFormat="1"/>
    <row r="1252" customFormat="1"/>
    <row r="1253" customFormat="1"/>
    <row r="1254" customFormat="1"/>
    <row r="1255" customFormat="1"/>
    <row r="1256" customFormat="1"/>
    <row r="1257" customFormat="1"/>
    <row r="1258" customFormat="1"/>
    <row r="1259" customFormat="1"/>
    <row r="1260" customFormat="1"/>
    <row r="1261" customFormat="1"/>
    <row r="1262" customFormat="1"/>
    <row r="1263" customFormat="1"/>
    <row r="1264" customFormat="1"/>
    <row r="1265" customFormat="1"/>
    <row r="1266" customFormat="1"/>
    <row r="1267" customFormat="1"/>
    <row r="1268" customFormat="1"/>
    <row r="1269" customFormat="1"/>
    <row r="1270" customFormat="1"/>
    <row r="1271" customFormat="1"/>
    <row r="1272" customFormat="1"/>
    <row r="1273" customFormat="1"/>
    <row r="1274" customFormat="1"/>
    <row r="1275" customFormat="1"/>
    <row r="1276" customFormat="1"/>
    <row r="1277" customFormat="1"/>
    <row r="1278" customFormat="1"/>
    <row r="1279" customFormat="1"/>
    <row r="1280" customFormat="1"/>
    <row r="1281" customFormat="1"/>
    <row r="1282" customFormat="1"/>
    <row r="1283" customFormat="1"/>
    <row r="1284" customFormat="1"/>
    <row r="1285" customFormat="1"/>
    <row r="1286" customFormat="1"/>
    <row r="1287" customFormat="1"/>
    <row r="1288" customFormat="1"/>
    <row r="1289" customFormat="1"/>
    <row r="1290" customFormat="1"/>
    <row r="1291" customFormat="1"/>
    <row r="1292" customFormat="1"/>
    <row r="1293" customFormat="1"/>
    <row r="1294" customFormat="1"/>
    <row r="1295" customFormat="1"/>
    <row r="1296" customFormat="1"/>
    <row r="1297" customFormat="1"/>
    <row r="1298" customFormat="1"/>
    <row r="1299" customFormat="1"/>
    <row r="1300" customFormat="1"/>
    <row r="1301" customFormat="1"/>
    <row r="1302" customFormat="1"/>
    <row r="1303" customFormat="1"/>
    <row r="1304" customFormat="1"/>
    <row r="1305" customFormat="1"/>
    <row r="1306" customFormat="1"/>
    <row r="1307" customFormat="1"/>
    <row r="1308" customFormat="1"/>
    <row r="1309" customFormat="1"/>
    <row r="1310" customFormat="1"/>
    <row r="1311" customFormat="1"/>
    <row r="1312" customFormat="1"/>
    <row r="1313" customFormat="1"/>
    <row r="1314" customFormat="1"/>
    <row r="1315" customFormat="1"/>
    <row r="1316" customFormat="1"/>
    <row r="1317" customFormat="1"/>
    <row r="1318" customFormat="1"/>
    <row r="1319" customFormat="1"/>
    <row r="1320" customFormat="1"/>
    <row r="1321" customFormat="1"/>
    <row r="1322" customFormat="1"/>
    <row r="1323" customFormat="1"/>
    <row r="1324" customFormat="1"/>
    <row r="1325" customFormat="1"/>
    <row r="1326" customFormat="1"/>
    <row r="1327" customFormat="1"/>
    <row r="1328" customFormat="1"/>
    <row r="1329" customFormat="1"/>
    <row r="1330" customFormat="1"/>
    <row r="1331" customFormat="1"/>
    <row r="1332" customFormat="1"/>
    <row r="1333" customFormat="1"/>
    <row r="1334" customFormat="1"/>
    <row r="1335" customFormat="1"/>
    <row r="1336" customFormat="1"/>
    <row r="1337" customFormat="1"/>
    <row r="1338" customFormat="1"/>
    <row r="1339" customFormat="1"/>
    <row r="1340" customFormat="1"/>
    <row r="1341" customFormat="1"/>
    <row r="1342" customFormat="1"/>
    <row r="1343" customFormat="1"/>
    <row r="1344" customFormat="1"/>
    <row r="1345" customFormat="1"/>
    <row r="1346" customFormat="1"/>
    <row r="1347" customFormat="1"/>
    <row r="1348" customFormat="1"/>
    <row r="1349" customFormat="1"/>
    <row r="1350" customFormat="1"/>
    <row r="1351" customFormat="1"/>
    <row r="1352" customFormat="1"/>
    <row r="1353" customFormat="1"/>
    <row r="1354" customFormat="1"/>
    <row r="1355" customFormat="1"/>
    <row r="1356" customFormat="1"/>
    <row r="1357" customFormat="1"/>
    <row r="1358" customFormat="1"/>
    <row r="1359" customFormat="1"/>
    <row r="1360" customFormat="1"/>
    <row r="1361" customFormat="1"/>
    <row r="1362" customFormat="1"/>
    <row r="1363" customFormat="1"/>
    <row r="1364" customFormat="1"/>
    <row r="1365" customFormat="1"/>
    <row r="1366" customFormat="1"/>
    <row r="1367" customFormat="1"/>
    <row r="1368" customFormat="1"/>
    <row r="1369" customFormat="1"/>
    <row r="1370" customFormat="1"/>
    <row r="1371" customFormat="1"/>
    <row r="1372" customFormat="1"/>
    <row r="1373" customFormat="1"/>
    <row r="1374" customFormat="1"/>
    <row r="1375" customFormat="1"/>
    <row r="1376" customFormat="1"/>
    <row r="1377" customFormat="1"/>
    <row r="1378" customFormat="1"/>
    <row r="1379" customFormat="1"/>
    <row r="1380" customFormat="1"/>
    <row r="1381" customFormat="1"/>
    <row r="1382" customFormat="1"/>
    <row r="1383" customFormat="1"/>
    <row r="1384" customFormat="1"/>
    <row r="1385" customFormat="1"/>
    <row r="1386" customFormat="1"/>
    <row r="1387" customFormat="1"/>
    <row r="1388" customFormat="1"/>
    <row r="1389" customFormat="1"/>
    <row r="1390" customFormat="1"/>
    <row r="1391" customFormat="1"/>
    <row r="1392" customFormat="1"/>
    <row r="1393" customFormat="1"/>
    <row r="1394" customFormat="1"/>
    <row r="1395" customFormat="1"/>
    <row r="1396" customFormat="1"/>
    <row r="1397" customFormat="1"/>
    <row r="1398" customFormat="1"/>
    <row r="1399" customFormat="1"/>
    <row r="1400" customFormat="1"/>
    <row r="1401" customFormat="1"/>
    <row r="1402" customFormat="1"/>
    <row r="1403" customFormat="1"/>
    <row r="1404" customFormat="1"/>
    <row r="1405" customFormat="1"/>
    <row r="1406" customFormat="1"/>
    <row r="1407" customFormat="1"/>
    <row r="1408" customFormat="1"/>
    <row r="1409" customFormat="1"/>
    <row r="1410" customFormat="1"/>
    <row r="1411" customFormat="1"/>
    <row r="1412" customFormat="1"/>
    <row r="1413" customFormat="1"/>
    <row r="1414" customFormat="1"/>
    <row r="1415" customFormat="1"/>
    <row r="1416" customFormat="1"/>
    <row r="1417" customFormat="1"/>
    <row r="1418" customFormat="1"/>
    <row r="1419" customFormat="1"/>
    <row r="1420" customFormat="1"/>
    <row r="1421" customFormat="1"/>
    <row r="1422" customFormat="1"/>
    <row r="1423" customFormat="1"/>
    <row r="1424" customFormat="1"/>
    <row r="1425" customFormat="1"/>
    <row r="1426" customFormat="1"/>
    <row r="1427" customFormat="1"/>
    <row r="1428" customFormat="1"/>
    <row r="1429" customFormat="1"/>
    <row r="1430" customFormat="1"/>
    <row r="1431" customFormat="1"/>
    <row r="1432" customFormat="1"/>
    <row r="1433" customFormat="1"/>
    <row r="1434" customFormat="1"/>
    <row r="1435" customFormat="1"/>
    <row r="1436" customFormat="1"/>
    <row r="1437" customFormat="1"/>
    <row r="1438" customFormat="1"/>
    <row r="1439" customFormat="1"/>
    <row r="1440" customFormat="1"/>
    <row r="1441" customFormat="1"/>
    <row r="1442" customFormat="1"/>
    <row r="1443" customFormat="1"/>
    <row r="1444" customFormat="1"/>
    <row r="1445" customFormat="1"/>
    <row r="1446" customFormat="1"/>
    <row r="1447" customFormat="1"/>
    <row r="1448" customFormat="1"/>
    <row r="1449" customFormat="1"/>
    <row r="1450" customFormat="1"/>
    <row r="1451" customFormat="1"/>
    <row r="1452" customFormat="1"/>
    <row r="1453" customFormat="1"/>
    <row r="1454" customFormat="1"/>
    <row r="1455" customFormat="1"/>
    <row r="1456" customFormat="1"/>
    <row r="1457" customFormat="1"/>
    <row r="1458" customFormat="1"/>
    <row r="1459" customFormat="1"/>
    <row r="1460" customFormat="1"/>
    <row r="1461" customFormat="1"/>
    <row r="1462" customFormat="1"/>
    <row r="1463" customFormat="1"/>
    <row r="1464" customFormat="1"/>
    <row r="1465" customFormat="1"/>
    <row r="1466" customFormat="1"/>
    <row r="1467" customFormat="1"/>
    <row r="1468" customFormat="1"/>
    <row r="1469" customFormat="1"/>
    <row r="1470" customFormat="1"/>
    <row r="1471" customFormat="1"/>
    <row r="1472" customFormat="1"/>
    <row r="1473" customFormat="1"/>
    <row r="1474" customFormat="1"/>
    <row r="1475" customFormat="1"/>
    <row r="1476" customFormat="1"/>
    <row r="1477" customFormat="1"/>
    <row r="1478" customFormat="1"/>
    <row r="1479" customFormat="1"/>
    <row r="1480" customFormat="1"/>
    <row r="1481" customFormat="1"/>
    <row r="1482" customFormat="1"/>
    <row r="1483" customFormat="1"/>
    <row r="1484" customFormat="1"/>
    <row r="1485" customFormat="1"/>
    <row r="1486" customFormat="1"/>
    <row r="1487" customFormat="1"/>
    <row r="1488" customFormat="1"/>
    <row r="1489" customFormat="1"/>
    <row r="1490" customFormat="1"/>
    <row r="1491" customFormat="1"/>
    <row r="1492" customFormat="1"/>
    <row r="1493" customFormat="1"/>
    <row r="1494" customFormat="1"/>
    <row r="1495" customFormat="1"/>
    <row r="1496" customFormat="1"/>
    <row r="1497" customFormat="1"/>
    <row r="1498" customFormat="1"/>
    <row r="1499" customFormat="1"/>
    <row r="1500" customFormat="1"/>
    <row r="1501" customFormat="1"/>
    <row r="1502" customFormat="1"/>
    <row r="1503" customFormat="1"/>
    <row r="1504" customFormat="1"/>
    <row r="1505" customFormat="1"/>
    <row r="1506" customFormat="1"/>
    <row r="1507" customFormat="1"/>
    <row r="1508" customFormat="1"/>
    <row r="1509" customFormat="1"/>
    <row r="1510" customFormat="1"/>
    <row r="1511" customFormat="1"/>
    <row r="1512" customFormat="1"/>
    <row r="1513" customFormat="1"/>
    <row r="1514" customFormat="1"/>
    <row r="1515" customFormat="1"/>
    <row r="1516" customFormat="1"/>
    <row r="1517" customFormat="1"/>
    <row r="1518" customFormat="1"/>
    <row r="1519" customFormat="1"/>
    <row r="1520" customFormat="1"/>
    <row r="1521" customFormat="1"/>
    <row r="1522" customFormat="1"/>
    <row r="1523" customFormat="1"/>
    <row r="1524" customFormat="1"/>
    <row r="1525" customFormat="1"/>
    <row r="1526" customFormat="1"/>
    <row r="1527" customFormat="1"/>
    <row r="1528" customFormat="1"/>
    <row r="1529" customFormat="1"/>
    <row r="1530" customFormat="1"/>
    <row r="1531" customFormat="1"/>
    <row r="1532" customFormat="1"/>
    <row r="1533" customFormat="1"/>
    <row r="1534" customFormat="1"/>
    <row r="1535" customFormat="1"/>
    <row r="1536" customFormat="1"/>
    <row r="1537" customFormat="1"/>
    <row r="1538" customFormat="1"/>
    <row r="1539" customFormat="1"/>
    <row r="1540" customFormat="1"/>
    <row r="1541" customFormat="1"/>
    <row r="1542" customFormat="1"/>
    <row r="1543" customFormat="1"/>
    <row r="1544" customFormat="1"/>
    <row r="1545" customFormat="1"/>
    <row r="1546" customFormat="1"/>
    <row r="1547" customFormat="1"/>
    <row r="1548" customFormat="1"/>
    <row r="1549" customFormat="1"/>
    <row r="1550" customFormat="1"/>
    <row r="1551" customFormat="1"/>
    <row r="1552" customFormat="1"/>
    <row r="1553" customFormat="1"/>
    <row r="1554" customFormat="1"/>
    <row r="1555" customFormat="1"/>
    <row r="1556" customFormat="1"/>
    <row r="1557" customFormat="1"/>
    <row r="1558" customFormat="1"/>
    <row r="1559" customFormat="1"/>
    <row r="1560" customFormat="1"/>
    <row r="1561" customFormat="1"/>
    <row r="1562" customFormat="1"/>
    <row r="1563" customFormat="1"/>
    <row r="1564" customFormat="1"/>
    <row r="1565" customFormat="1"/>
    <row r="1566" customFormat="1"/>
    <row r="1567" customFormat="1"/>
    <row r="1568" customFormat="1"/>
    <row r="1569" customFormat="1"/>
    <row r="1570" customFormat="1"/>
    <row r="1571" customFormat="1"/>
    <row r="1572" customFormat="1"/>
    <row r="1573" customFormat="1"/>
    <row r="1574" customFormat="1"/>
    <row r="1575" customFormat="1"/>
    <row r="1576" customFormat="1"/>
    <row r="1577" customFormat="1"/>
    <row r="1578" customFormat="1"/>
    <row r="1579" customFormat="1"/>
    <row r="1580" customFormat="1"/>
    <row r="1581" customFormat="1"/>
    <row r="1582" customFormat="1"/>
    <row r="1583" customFormat="1"/>
    <row r="1584" customFormat="1"/>
    <row r="1585" customFormat="1"/>
    <row r="1586" customFormat="1"/>
    <row r="1587" customFormat="1"/>
    <row r="1588" customFormat="1"/>
    <row r="1589" customFormat="1"/>
    <row r="1590" customFormat="1"/>
    <row r="1591" customFormat="1"/>
    <row r="1592" customFormat="1"/>
    <row r="1593" customFormat="1"/>
    <row r="1594" customFormat="1"/>
    <row r="1595" customFormat="1"/>
    <row r="1596" customFormat="1"/>
    <row r="1597" customFormat="1"/>
    <row r="1598" customFormat="1"/>
    <row r="1599" customFormat="1"/>
    <row r="1600" customFormat="1"/>
    <row r="1601" customFormat="1"/>
    <row r="1602" customFormat="1"/>
    <row r="1603" customFormat="1"/>
    <row r="1604" customFormat="1"/>
    <row r="1605" customFormat="1"/>
    <row r="1606" customFormat="1"/>
    <row r="1607" customFormat="1"/>
    <row r="1608" customFormat="1"/>
    <row r="1609" customFormat="1"/>
    <row r="1610" customFormat="1"/>
    <row r="1611" customFormat="1"/>
    <row r="1612" customFormat="1"/>
    <row r="1613" customFormat="1"/>
    <row r="1614" customFormat="1"/>
    <row r="1615" customFormat="1"/>
    <row r="1616" customFormat="1"/>
    <row r="1617" customFormat="1"/>
    <row r="1618" customFormat="1"/>
    <row r="1619" customFormat="1"/>
    <row r="1620" customFormat="1"/>
    <row r="1621" customFormat="1"/>
    <row r="1622" customFormat="1"/>
    <row r="1623" customFormat="1"/>
    <row r="1624" customFormat="1"/>
    <row r="1625" customFormat="1"/>
    <row r="1626" customFormat="1"/>
    <row r="1627" customFormat="1"/>
    <row r="1628" customFormat="1"/>
    <row r="1629" customFormat="1"/>
    <row r="1630" customFormat="1"/>
    <row r="1631" customFormat="1"/>
    <row r="1632" customFormat="1"/>
    <row r="1633" customFormat="1"/>
    <row r="1634" customFormat="1"/>
    <row r="1635" customFormat="1"/>
    <row r="1636" customFormat="1"/>
    <row r="1637" customFormat="1"/>
    <row r="1638" customFormat="1"/>
    <row r="1639" customFormat="1"/>
    <row r="1640" customFormat="1"/>
    <row r="1641" customFormat="1"/>
    <row r="1642" customFormat="1"/>
    <row r="1643" customFormat="1"/>
    <row r="1644" customFormat="1"/>
    <row r="1645" customFormat="1"/>
    <row r="1646" customFormat="1"/>
    <row r="1647" customFormat="1"/>
    <row r="1648" customFormat="1"/>
    <row r="1649" customFormat="1"/>
    <row r="1650" customFormat="1"/>
    <row r="1651" customFormat="1"/>
    <row r="1652" customFormat="1"/>
    <row r="1653" customFormat="1"/>
    <row r="1654" customFormat="1"/>
    <row r="1655" customFormat="1"/>
    <row r="1656" customFormat="1"/>
    <row r="1657" customFormat="1"/>
    <row r="1658" customFormat="1"/>
    <row r="1659" customFormat="1"/>
    <row r="1660" customFormat="1"/>
    <row r="1661" customFormat="1"/>
    <row r="1662" customFormat="1"/>
    <row r="1663" customFormat="1"/>
    <row r="1664" customFormat="1"/>
    <row r="1665" customFormat="1"/>
    <row r="1666" customFormat="1"/>
    <row r="1667" customFormat="1"/>
    <row r="1668" customFormat="1"/>
    <row r="1669" customFormat="1"/>
    <row r="1670" customFormat="1"/>
    <row r="1671" customFormat="1"/>
    <row r="1672" customFormat="1"/>
    <row r="1673" customFormat="1"/>
    <row r="1674" customFormat="1"/>
    <row r="1675" customFormat="1"/>
    <row r="1676" customFormat="1"/>
    <row r="1677" customFormat="1"/>
    <row r="1678" customFormat="1"/>
    <row r="1679" customFormat="1"/>
    <row r="1680" customFormat="1"/>
    <row r="1681" customFormat="1"/>
    <row r="1682" customFormat="1"/>
    <row r="1683" customFormat="1"/>
    <row r="1684" customFormat="1"/>
    <row r="1685" customFormat="1"/>
    <row r="1686" customFormat="1"/>
    <row r="1687" customFormat="1"/>
    <row r="1688" customFormat="1"/>
    <row r="1689" customFormat="1"/>
    <row r="1690" customFormat="1"/>
    <row r="1691" customFormat="1"/>
    <row r="1692" customFormat="1"/>
    <row r="1693" customFormat="1"/>
    <row r="1694" customFormat="1"/>
    <row r="1695" customFormat="1"/>
    <row r="1696" customFormat="1"/>
    <row r="1697" customFormat="1"/>
    <row r="1698" customFormat="1"/>
    <row r="1699" customFormat="1"/>
    <row r="1700" customFormat="1"/>
    <row r="1701" customFormat="1"/>
    <row r="1702" customFormat="1"/>
    <row r="1703" customFormat="1"/>
    <row r="1704" customFormat="1"/>
    <row r="1705" customFormat="1"/>
    <row r="1706" customFormat="1"/>
    <row r="1707" customFormat="1"/>
    <row r="1708" customFormat="1"/>
    <row r="1709" customFormat="1"/>
    <row r="1710" customFormat="1"/>
    <row r="1711" customFormat="1"/>
    <row r="1712" customFormat="1"/>
    <row r="1713" customFormat="1"/>
    <row r="1714" customFormat="1"/>
    <row r="1715" customFormat="1"/>
    <row r="1716" customFormat="1"/>
    <row r="1717" customFormat="1"/>
    <row r="1718" customFormat="1"/>
    <row r="1719" customFormat="1"/>
    <row r="1720" customFormat="1"/>
    <row r="1721" customFormat="1"/>
    <row r="1722" customFormat="1"/>
    <row r="1723" customFormat="1"/>
    <row r="1724" customFormat="1"/>
    <row r="1725" customFormat="1"/>
    <row r="1726" customFormat="1"/>
    <row r="1727" customFormat="1"/>
    <row r="1728" customFormat="1"/>
    <row r="1729" customFormat="1"/>
    <row r="1730" customFormat="1"/>
    <row r="1731" customFormat="1"/>
    <row r="1732" customFormat="1"/>
    <row r="1733" customFormat="1"/>
    <row r="1734" customFormat="1"/>
    <row r="1735" customFormat="1"/>
    <row r="1736" customFormat="1"/>
    <row r="1737" customFormat="1"/>
    <row r="1738" customFormat="1"/>
    <row r="1739" customFormat="1"/>
    <row r="1740" customFormat="1"/>
    <row r="1741" customFormat="1"/>
    <row r="1742" customFormat="1"/>
    <row r="1743" customFormat="1"/>
    <row r="1744" customFormat="1"/>
    <row r="1745" customFormat="1"/>
    <row r="1746" customFormat="1"/>
    <row r="1747" customFormat="1"/>
    <row r="1748" customFormat="1"/>
    <row r="1749" customFormat="1"/>
    <row r="1750" customFormat="1"/>
    <row r="1751" customFormat="1"/>
    <row r="1752" customFormat="1"/>
    <row r="1753" customFormat="1"/>
    <row r="1754" customFormat="1"/>
    <row r="1755" customFormat="1"/>
    <row r="1756" customFormat="1"/>
    <row r="1757" customFormat="1"/>
    <row r="1758" customFormat="1"/>
    <row r="1759" customFormat="1"/>
    <row r="1760" customFormat="1"/>
    <row r="1761" customFormat="1"/>
    <row r="1762" customFormat="1"/>
    <row r="1763" customFormat="1"/>
    <row r="1764" customFormat="1"/>
    <row r="1765" customFormat="1"/>
    <row r="1766" customFormat="1"/>
    <row r="1767" customFormat="1"/>
    <row r="1768" customFormat="1"/>
    <row r="1769" customFormat="1"/>
    <row r="1770" customFormat="1"/>
    <row r="1771" customFormat="1"/>
    <row r="1772" customFormat="1"/>
    <row r="1773" customFormat="1"/>
    <row r="1774" customFormat="1"/>
    <row r="1775" customFormat="1"/>
    <row r="1776" customFormat="1"/>
    <row r="1777" customFormat="1"/>
    <row r="1778" customFormat="1"/>
    <row r="1779" customFormat="1"/>
    <row r="1780" customFormat="1"/>
    <row r="1781" customFormat="1"/>
    <row r="1782" customFormat="1"/>
    <row r="1783" customFormat="1"/>
    <row r="1784" customFormat="1"/>
    <row r="1785" customFormat="1"/>
    <row r="1786" customFormat="1"/>
    <row r="1787" customFormat="1"/>
    <row r="1788" customFormat="1"/>
    <row r="1789" customFormat="1"/>
    <row r="1790" customFormat="1"/>
    <row r="1791" customFormat="1"/>
    <row r="1792" customFormat="1"/>
    <row r="1793" customFormat="1"/>
    <row r="1794" customFormat="1"/>
    <row r="1795" customFormat="1"/>
    <row r="1796" customFormat="1"/>
    <row r="1797" customFormat="1"/>
    <row r="1798" customFormat="1"/>
    <row r="1799" customFormat="1"/>
    <row r="1800" customFormat="1"/>
    <row r="1801" customFormat="1"/>
    <row r="1802" customFormat="1"/>
    <row r="1803" customFormat="1"/>
    <row r="1804" customFormat="1"/>
    <row r="1805" customFormat="1"/>
    <row r="1806" customFormat="1"/>
    <row r="1807" customFormat="1"/>
    <row r="1808" customFormat="1"/>
    <row r="1809" customFormat="1"/>
    <row r="1810" customFormat="1"/>
    <row r="1811" customFormat="1"/>
    <row r="1812" customFormat="1"/>
    <row r="1813" customFormat="1"/>
    <row r="1814" customFormat="1"/>
    <row r="1815" customFormat="1"/>
    <row r="1816" customFormat="1"/>
    <row r="1817" customFormat="1"/>
    <row r="1818" customFormat="1"/>
    <row r="1819" customFormat="1"/>
    <row r="1820" customFormat="1"/>
    <row r="1821" customFormat="1"/>
    <row r="1822" customFormat="1"/>
    <row r="1823" customFormat="1"/>
    <row r="1824" customFormat="1"/>
    <row r="1825" customFormat="1"/>
    <row r="1826" customFormat="1"/>
    <row r="1827" customFormat="1"/>
    <row r="1828" customFormat="1"/>
    <row r="1829" customFormat="1"/>
    <row r="1830" customFormat="1"/>
    <row r="1831" customFormat="1"/>
    <row r="1832" customFormat="1"/>
    <row r="1833" customFormat="1"/>
    <row r="1834" customFormat="1"/>
    <row r="1835" customFormat="1"/>
    <row r="1836" customFormat="1"/>
    <row r="1837" customFormat="1"/>
    <row r="1838" customFormat="1"/>
    <row r="1839" customFormat="1"/>
    <row r="1840" customFormat="1"/>
    <row r="1841" customFormat="1"/>
    <row r="1842" customFormat="1"/>
    <row r="1843" customFormat="1"/>
    <row r="1844" customFormat="1"/>
    <row r="1845" customFormat="1"/>
    <row r="1846" customFormat="1"/>
    <row r="1847" customFormat="1"/>
    <row r="1848" customFormat="1"/>
    <row r="1849" customFormat="1"/>
    <row r="1850" customFormat="1"/>
    <row r="1851" customFormat="1"/>
    <row r="1852" customFormat="1"/>
    <row r="1853" customFormat="1"/>
    <row r="1854" customFormat="1"/>
    <row r="1855" customFormat="1"/>
    <row r="1856" customFormat="1"/>
    <row r="1857" customFormat="1"/>
    <row r="1858" customFormat="1"/>
    <row r="1859" customFormat="1"/>
    <row r="1860" customFormat="1"/>
    <row r="1861" customFormat="1"/>
    <row r="1862" customFormat="1"/>
    <row r="1863" customFormat="1"/>
    <row r="1864" customFormat="1"/>
    <row r="1865" customFormat="1"/>
    <row r="1866" customFormat="1"/>
    <row r="1867" customFormat="1"/>
    <row r="1868" customFormat="1"/>
    <row r="1869" customFormat="1"/>
    <row r="1870" customFormat="1"/>
    <row r="1871" customFormat="1"/>
    <row r="1872" customFormat="1"/>
    <row r="1873" customFormat="1"/>
    <row r="1874" customFormat="1"/>
    <row r="1875" customFormat="1"/>
    <row r="1876" customFormat="1"/>
    <row r="1877" customFormat="1"/>
    <row r="1878" customFormat="1"/>
    <row r="1879" customFormat="1"/>
    <row r="1880" customFormat="1"/>
    <row r="1881" customFormat="1"/>
    <row r="1882" customFormat="1"/>
    <row r="1883" customFormat="1"/>
    <row r="1884" customFormat="1"/>
    <row r="1885" customFormat="1"/>
    <row r="1886" customFormat="1"/>
    <row r="1887" customFormat="1"/>
    <row r="1888" customFormat="1"/>
    <row r="1889" customFormat="1"/>
    <row r="1890" customFormat="1"/>
    <row r="1891" customFormat="1"/>
    <row r="1892" customFormat="1"/>
    <row r="1893" customFormat="1"/>
    <row r="1894" customFormat="1"/>
    <row r="1895" customFormat="1"/>
    <row r="1896" customFormat="1"/>
    <row r="1897" customFormat="1"/>
    <row r="1898" customFormat="1"/>
    <row r="1899" customFormat="1"/>
    <row r="1900" customFormat="1"/>
    <row r="1901" customFormat="1"/>
    <row r="1902" customFormat="1"/>
    <row r="1903" customFormat="1"/>
    <row r="1904" customFormat="1"/>
    <row r="1905" customFormat="1"/>
    <row r="1906" customFormat="1"/>
    <row r="1907" customFormat="1"/>
    <row r="1908" customFormat="1"/>
    <row r="1909" customFormat="1"/>
    <row r="1910" customFormat="1"/>
    <row r="1911" customFormat="1"/>
    <row r="1912" customFormat="1"/>
    <row r="1913" customFormat="1"/>
    <row r="1914" customFormat="1"/>
    <row r="1915" customFormat="1"/>
    <row r="1916" customFormat="1"/>
    <row r="1917" customFormat="1"/>
    <row r="1918" customFormat="1"/>
    <row r="1919" customFormat="1"/>
    <row r="1920" customFormat="1"/>
    <row r="1921" customFormat="1"/>
    <row r="1922" customFormat="1"/>
    <row r="1923" customFormat="1"/>
    <row r="1924" customFormat="1"/>
    <row r="1925" customFormat="1"/>
    <row r="1926" customFormat="1"/>
    <row r="1927" customFormat="1"/>
    <row r="1928" customFormat="1"/>
    <row r="1929" customFormat="1"/>
    <row r="1930" customFormat="1"/>
    <row r="1931" customFormat="1"/>
    <row r="1932" customFormat="1"/>
    <row r="1933" customFormat="1"/>
    <row r="1934" customFormat="1"/>
    <row r="1935" customFormat="1"/>
    <row r="1936" customFormat="1"/>
    <row r="1937" customFormat="1"/>
    <row r="1938" customFormat="1"/>
    <row r="1939" customFormat="1"/>
    <row r="1940" customFormat="1"/>
    <row r="1941" customFormat="1"/>
    <row r="1942" customFormat="1"/>
    <row r="1943" customFormat="1"/>
    <row r="1944" customFormat="1"/>
    <row r="1945" customFormat="1"/>
    <row r="1946" customFormat="1"/>
    <row r="1947" customFormat="1"/>
    <row r="1948" customFormat="1"/>
    <row r="1949" customFormat="1"/>
    <row r="1950" customFormat="1"/>
    <row r="1951" customFormat="1"/>
    <row r="1952" customFormat="1"/>
    <row r="1953" customFormat="1"/>
    <row r="1954" customFormat="1"/>
    <row r="1955" customFormat="1"/>
    <row r="1956" customFormat="1"/>
    <row r="1957" customFormat="1"/>
    <row r="1958" customFormat="1"/>
    <row r="1959" customFormat="1"/>
    <row r="1960" customFormat="1"/>
    <row r="1961" customFormat="1"/>
    <row r="1962" customFormat="1"/>
    <row r="1963" customFormat="1"/>
    <row r="1964" customFormat="1"/>
    <row r="1965" customFormat="1"/>
    <row r="1966" customFormat="1"/>
    <row r="1967" customFormat="1"/>
    <row r="1968" customFormat="1"/>
    <row r="1969" customFormat="1"/>
    <row r="1970" customFormat="1"/>
    <row r="1971" customFormat="1"/>
    <row r="1972" customFormat="1"/>
    <row r="1973" customFormat="1"/>
    <row r="1974" customFormat="1"/>
    <row r="1975" customFormat="1"/>
    <row r="1976" customFormat="1"/>
    <row r="1977" customFormat="1"/>
    <row r="1978" customFormat="1"/>
    <row r="1979" customFormat="1"/>
    <row r="1980" customFormat="1"/>
    <row r="1981" customFormat="1"/>
    <row r="1982" customFormat="1"/>
    <row r="1983" customFormat="1"/>
    <row r="1984" customFormat="1"/>
    <row r="1985" customFormat="1"/>
    <row r="1986" customFormat="1"/>
    <row r="1987" customFormat="1"/>
    <row r="1988" customFormat="1"/>
    <row r="1989" customFormat="1"/>
    <row r="1990" customFormat="1"/>
    <row r="1991" customFormat="1"/>
    <row r="1992" customFormat="1"/>
    <row r="1993" customFormat="1"/>
    <row r="1994" customFormat="1"/>
    <row r="1995" customFormat="1"/>
    <row r="1996" customFormat="1"/>
    <row r="1997" customFormat="1"/>
    <row r="1998" customFormat="1"/>
    <row r="1999" customFormat="1"/>
    <row r="2000" customFormat="1"/>
    <row r="2001" customFormat="1"/>
    <row r="2002" customFormat="1"/>
    <row r="2003" customFormat="1"/>
    <row r="2004" customFormat="1"/>
    <row r="2005" customFormat="1"/>
    <row r="2006" customFormat="1"/>
    <row r="2007" customFormat="1"/>
    <row r="2008" customFormat="1"/>
    <row r="2009" customFormat="1"/>
    <row r="2010" customFormat="1"/>
    <row r="2011" customFormat="1"/>
    <row r="2012" customFormat="1"/>
    <row r="2013" customFormat="1"/>
    <row r="2014" customFormat="1"/>
    <row r="2015" customFormat="1"/>
    <row r="2016" customFormat="1"/>
    <row r="2017" customFormat="1"/>
    <row r="2018" customFormat="1"/>
    <row r="2019" customFormat="1"/>
    <row r="2020" customFormat="1"/>
    <row r="2021" customFormat="1"/>
    <row r="2022" customFormat="1"/>
    <row r="2023" customFormat="1"/>
    <row r="2024" customFormat="1"/>
    <row r="2025" customFormat="1"/>
    <row r="2026" customFormat="1"/>
    <row r="2027" customFormat="1"/>
    <row r="2028" customFormat="1"/>
    <row r="2029" customFormat="1"/>
    <row r="2030" customFormat="1"/>
    <row r="2031" customFormat="1"/>
    <row r="2032" customFormat="1"/>
    <row r="2033" customFormat="1"/>
    <row r="2034" customFormat="1"/>
    <row r="2035" customFormat="1"/>
    <row r="2036" customFormat="1"/>
    <row r="2037" customFormat="1"/>
    <row r="2038" customFormat="1"/>
    <row r="2039" customFormat="1"/>
    <row r="2040" customFormat="1"/>
    <row r="2041" customFormat="1"/>
    <row r="2042" customFormat="1"/>
    <row r="2043" customFormat="1"/>
    <row r="2044" customFormat="1"/>
    <row r="2045" customFormat="1"/>
    <row r="2046" customFormat="1"/>
    <row r="2047" customFormat="1"/>
    <row r="2048" customFormat="1"/>
    <row r="2049" customFormat="1"/>
    <row r="2050" customFormat="1"/>
    <row r="2051" customFormat="1"/>
    <row r="2052" customFormat="1"/>
    <row r="2053" customFormat="1"/>
    <row r="2054" customFormat="1"/>
    <row r="2055" customFormat="1"/>
    <row r="2056" customFormat="1"/>
    <row r="2057" customFormat="1"/>
    <row r="2058" customFormat="1"/>
    <row r="2059" customFormat="1"/>
    <row r="2060" customFormat="1"/>
    <row r="2061" customFormat="1"/>
    <row r="2062" customFormat="1"/>
    <row r="2063" customFormat="1"/>
    <row r="2064" customFormat="1"/>
    <row r="2065" customFormat="1"/>
    <row r="2066" customFormat="1"/>
    <row r="2067" customFormat="1"/>
    <row r="2068" customFormat="1"/>
    <row r="2069" customFormat="1"/>
    <row r="2070" customFormat="1"/>
    <row r="2071" customFormat="1"/>
    <row r="2072" customFormat="1"/>
    <row r="2073" customFormat="1"/>
    <row r="2074" customFormat="1"/>
    <row r="2075" customFormat="1"/>
    <row r="2076" customFormat="1"/>
    <row r="2077" customFormat="1"/>
    <row r="2078" customFormat="1"/>
    <row r="2079" customFormat="1"/>
    <row r="2080" customFormat="1"/>
    <row r="2081" customFormat="1"/>
    <row r="2082" customFormat="1"/>
    <row r="2083" customFormat="1"/>
    <row r="2084" customFormat="1"/>
    <row r="2085" customFormat="1"/>
    <row r="2086" customFormat="1"/>
    <row r="2087" customFormat="1"/>
    <row r="2088" customFormat="1"/>
    <row r="2089" customFormat="1"/>
    <row r="2090" customFormat="1"/>
    <row r="2091" customFormat="1"/>
    <row r="2092" customFormat="1"/>
    <row r="2093" customFormat="1"/>
    <row r="2094" customFormat="1"/>
    <row r="2095" customFormat="1"/>
    <row r="2096" customFormat="1"/>
    <row r="2097" customFormat="1"/>
    <row r="2098" customFormat="1"/>
    <row r="2099" customFormat="1"/>
    <row r="2100" customFormat="1"/>
    <row r="2101" customFormat="1"/>
    <row r="2102" customFormat="1"/>
    <row r="2103" customFormat="1"/>
    <row r="2104" customFormat="1"/>
    <row r="2105" customFormat="1"/>
    <row r="2106" customFormat="1"/>
    <row r="2107" customFormat="1"/>
    <row r="2108" customFormat="1"/>
    <row r="2109" customFormat="1"/>
    <row r="2110" customFormat="1"/>
    <row r="2111" customFormat="1"/>
    <row r="2112" customFormat="1"/>
    <row r="2113" customFormat="1"/>
    <row r="2114" customFormat="1"/>
    <row r="2115" customFormat="1"/>
    <row r="2116" customFormat="1"/>
    <row r="2117" customFormat="1"/>
    <row r="2118" customFormat="1"/>
    <row r="2119" customFormat="1"/>
    <row r="2120" customFormat="1"/>
    <row r="2121" customFormat="1"/>
    <row r="2122" customFormat="1"/>
    <row r="2123" customFormat="1"/>
    <row r="2124" customFormat="1"/>
    <row r="2125" customFormat="1"/>
    <row r="2126" customFormat="1"/>
    <row r="2127" customFormat="1"/>
    <row r="2128" customFormat="1"/>
    <row r="2129" customFormat="1"/>
    <row r="2130" customFormat="1"/>
    <row r="2131" customFormat="1"/>
    <row r="2132" customFormat="1"/>
    <row r="2133" customFormat="1"/>
    <row r="2134" customFormat="1"/>
    <row r="2135" customFormat="1"/>
    <row r="2136" customFormat="1"/>
    <row r="2137" customFormat="1"/>
    <row r="2138" customFormat="1"/>
    <row r="2139" customFormat="1"/>
    <row r="2140" customFormat="1"/>
    <row r="2141" customFormat="1"/>
    <row r="2142" customFormat="1"/>
    <row r="2143" customFormat="1"/>
    <row r="2144" customFormat="1"/>
    <row r="2145" customFormat="1"/>
    <row r="2146" customFormat="1"/>
    <row r="2147" customFormat="1"/>
    <row r="2148" customFormat="1"/>
    <row r="2149" customFormat="1"/>
    <row r="2150" customFormat="1"/>
    <row r="2151" customFormat="1"/>
    <row r="2152" customFormat="1"/>
    <row r="2153" customFormat="1"/>
    <row r="2154" customFormat="1"/>
    <row r="2155" customFormat="1"/>
    <row r="2156" customFormat="1"/>
    <row r="2157" customFormat="1"/>
    <row r="2158" customFormat="1"/>
    <row r="2159" customFormat="1"/>
    <row r="2160" customFormat="1"/>
    <row r="2161" customFormat="1"/>
    <row r="2162" customFormat="1"/>
    <row r="2163" customFormat="1"/>
    <row r="2164" customFormat="1"/>
    <row r="2165" customFormat="1"/>
    <row r="2166" customFormat="1"/>
    <row r="2167" customFormat="1"/>
    <row r="2168" customFormat="1"/>
    <row r="2169" customFormat="1"/>
    <row r="2170" customFormat="1"/>
    <row r="2171" customFormat="1"/>
    <row r="2172" customFormat="1"/>
    <row r="2173" customFormat="1"/>
    <row r="2174" customFormat="1"/>
    <row r="2175" customFormat="1"/>
    <row r="2176" customFormat="1"/>
    <row r="2177" customFormat="1"/>
    <row r="2178" customFormat="1"/>
    <row r="2179" customFormat="1"/>
    <row r="2180" customFormat="1"/>
    <row r="2181" customFormat="1"/>
    <row r="2182" customFormat="1"/>
    <row r="2183" customFormat="1"/>
    <row r="2184" customFormat="1"/>
    <row r="2185" customFormat="1"/>
    <row r="2186" customFormat="1"/>
    <row r="2187" customFormat="1"/>
    <row r="2188" customFormat="1"/>
    <row r="2189" customFormat="1"/>
    <row r="2190" customFormat="1"/>
    <row r="2191" customFormat="1"/>
    <row r="2192" customFormat="1"/>
    <row r="2193" customFormat="1"/>
    <row r="2194" customFormat="1"/>
    <row r="2195" customFormat="1"/>
    <row r="2196" customFormat="1"/>
    <row r="2197" customFormat="1"/>
    <row r="2198" customFormat="1"/>
    <row r="2199" customFormat="1"/>
    <row r="2200" customFormat="1"/>
    <row r="2201" customFormat="1"/>
    <row r="2202" customFormat="1"/>
    <row r="2203" customFormat="1"/>
    <row r="2204" customFormat="1"/>
    <row r="2205" customFormat="1"/>
    <row r="2206" customFormat="1"/>
    <row r="2207" customFormat="1"/>
    <row r="2208" customFormat="1"/>
    <row r="2209" customFormat="1"/>
    <row r="2210" customFormat="1"/>
    <row r="2211" customFormat="1"/>
    <row r="2212" customFormat="1"/>
    <row r="2213" customFormat="1"/>
    <row r="2214" customFormat="1"/>
    <row r="2215" customFormat="1"/>
    <row r="2216" customFormat="1"/>
    <row r="2217" customFormat="1"/>
    <row r="2218" customFormat="1"/>
    <row r="2219" customFormat="1"/>
    <row r="2220" customFormat="1"/>
    <row r="2221" customFormat="1"/>
    <row r="2222" customFormat="1"/>
    <row r="2223" customFormat="1"/>
    <row r="2224" customFormat="1"/>
    <row r="2225" customFormat="1"/>
    <row r="2226" customFormat="1"/>
    <row r="2227" customFormat="1"/>
    <row r="2228" customFormat="1"/>
    <row r="2229" customFormat="1"/>
    <row r="2230" customFormat="1"/>
    <row r="2231" customFormat="1"/>
    <row r="2232" customFormat="1"/>
    <row r="2233" customFormat="1"/>
    <row r="2234" customFormat="1"/>
    <row r="2235" customFormat="1"/>
    <row r="2236" customFormat="1"/>
    <row r="2237" customFormat="1"/>
    <row r="2238" customFormat="1"/>
    <row r="2239" customFormat="1"/>
    <row r="2240" customFormat="1"/>
    <row r="2241" customFormat="1"/>
    <row r="2242" customFormat="1"/>
    <row r="2243" customFormat="1"/>
    <row r="2244" customFormat="1"/>
    <row r="2245" customFormat="1"/>
    <row r="2246" customFormat="1"/>
    <row r="2247" customFormat="1"/>
    <row r="2248" customFormat="1"/>
    <row r="2249" customFormat="1"/>
    <row r="2250" customFormat="1"/>
    <row r="2251" customFormat="1"/>
    <row r="2252" customFormat="1"/>
    <row r="2253" customFormat="1"/>
    <row r="2254" customFormat="1"/>
    <row r="2255" customFormat="1"/>
    <row r="2256" customFormat="1"/>
    <row r="2257" customFormat="1"/>
    <row r="2258" customFormat="1"/>
    <row r="2259" customFormat="1"/>
    <row r="2260" customFormat="1"/>
    <row r="2261" customFormat="1"/>
    <row r="2262" customFormat="1"/>
    <row r="2263" customFormat="1"/>
    <row r="2264" customFormat="1"/>
    <row r="2265" customFormat="1"/>
    <row r="2266" customFormat="1"/>
    <row r="2267" customFormat="1"/>
    <row r="2268" customFormat="1"/>
    <row r="2269" customFormat="1"/>
    <row r="2270" customFormat="1"/>
    <row r="2271" customFormat="1"/>
    <row r="2272" customFormat="1"/>
    <row r="2273" customFormat="1"/>
    <row r="2274" customFormat="1"/>
    <row r="2275" customFormat="1"/>
    <row r="2276" customFormat="1"/>
    <row r="2277" customFormat="1"/>
    <row r="2278" customFormat="1"/>
    <row r="2279" customFormat="1"/>
    <row r="2280" customFormat="1"/>
    <row r="2281" customFormat="1"/>
    <row r="2282" customFormat="1"/>
    <row r="2283" customFormat="1"/>
    <row r="2284" customFormat="1"/>
    <row r="2285" customFormat="1"/>
    <row r="2286" customFormat="1"/>
    <row r="2287" customFormat="1"/>
    <row r="2288" customFormat="1"/>
    <row r="2289" customFormat="1"/>
    <row r="2290" customFormat="1"/>
    <row r="2291" customFormat="1"/>
    <row r="2292" customFormat="1"/>
    <row r="2293" customFormat="1"/>
    <row r="2294" customFormat="1"/>
    <row r="2295" customFormat="1"/>
    <row r="2296" customFormat="1"/>
    <row r="2297" customFormat="1"/>
    <row r="2298" customFormat="1"/>
    <row r="2299" customFormat="1"/>
    <row r="2300" customFormat="1"/>
    <row r="2301" customFormat="1"/>
    <row r="2302" customFormat="1"/>
    <row r="2303" customFormat="1"/>
    <row r="2304" customFormat="1"/>
    <row r="2305" customFormat="1"/>
    <row r="2306" customFormat="1"/>
    <row r="2307" customFormat="1"/>
    <row r="2308" customFormat="1"/>
    <row r="2309" customFormat="1"/>
    <row r="2310" customFormat="1"/>
    <row r="2311" customFormat="1"/>
    <row r="2312" customFormat="1"/>
    <row r="2313" customFormat="1"/>
    <row r="2314" customFormat="1"/>
    <row r="2315" customFormat="1"/>
    <row r="2316" customFormat="1"/>
    <row r="2317" customFormat="1"/>
    <row r="2318" customFormat="1"/>
    <row r="2319" customFormat="1"/>
    <row r="2320" customFormat="1"/>
    <row r="2321" customFormat="1"/>
    <row r="2322" customFormat="1"/>
    <row r="2323" customFormat="1"/>
    <row r="2324" customFormat="1"/>
    <row r="2325" customFormat="1"/>
    <row r="2326" customFormat="1"/>
    <row r="2327" customFormat="1"/>
    <row r="2328" customFormat="1"/>
    <row r="2329" customFormat="1"/>
    <row r="2330" customFormat="1"/>
    <row r="2331" customFormat="1"/>
    <row r="2332" customFormat="1"/>
    <row r="2333" customFormat="1"/>
    <row r="2334" customFormat="1"/>
    <row r="2335" customFormat="1"/>
    <row r="2336" customFormat="1"/>
    <row r="2337" customFormat="1"/>
    <row r="2338" customFormat="1"/>
    <row r="2339" customFormat="1"/>
    <row r="2340" customFormat="1"/>
    <row r="2341" customFormat="1"/>
    <row r="2342" customFormat="1"/>
    <row r="2343" customFormat="1"/>
    <row r="2344" customFormat="1"/>
    <row r="2345" customFormat="1"/>
    <row r="2346" customFormat="1"/>
    <row r="2347" customFormat="1"/>
    <row r="2348" customFormat="1"/>
    <row r="2349" customFormat="1"/>
    <row r="2350" customFormat="1"/>
    <row r="2351" customFormat="1"/>
    <row r="2352" customFormat="1"/>
    <row r="2353" customFormat="1"/>
    <row r="2354" customFormat="1"/>
    <row r="2355" customFormat="1"/>
    <row r="2356" customFormat="1"/>
    <row r="2357" customFormat="1"/>
    <row r="2358" customFormat="1"/>
    <row r="2359" customFormat="1"/>
    <row r="2360" customFormat="1"/>
    <row r="2361" customFormat="1"/>
    <row r="2362" customFormat="1"/>
    <row r="2363" customFormat="1"/>
    <row r="2364" customFormat="1"/>
    <row r="2365" customFormat="1"/>
    <row r="2366" customFormat="1"/>
    <row r="2367" customFormat="1"/>
    <row r="2368" customFormat="1"/>
    <row r="2369" customFormat="1"/>
    <row r="2370" customFormat="1"/>
    <row r="2371" customFormat="1"/>
    <row r="2372" customFormat="1"/>
    <row r="2373" customFormat="1"/>
    <row r="2374" customFormat="1"/>
    <row r="2375" customFormat="1"/>
    <row r="2376" customFormat="1"/>
    <row r="2377" customFormat="1"/>
    <row r="2378" customFormat="1"/>
    <row r="2379" customFormat="1"/>
    <row r="2380" customFormat="1"/>
    <row r="2381" customFormat="1"/>
    <row r="2382" customFormat="1"/>
    <row r="2383" customFormat="1"/>
    <row r="2384" customFormat="1"/>
    <row r="2385" customFormat="1"/>
    <row r="2386" customFormat="1"/>
    <row r="2387" customFormat="1"/>
    <row r="2388" customFormat="1"/>
    <row r="2389" customFormat="1"/>
    <row r="2390" customFormat="1"/>
    <row r="2391" customFormat="1"/>
    <row r="2392" customFormat="1"/>
    <row r="2393" customFormat="1"/>
    <row r="2394" customFormat="1"/>
    <row r="2395" customFormat="1"/>
    <row r="2396" customFormat="1"/>
    <row r="2397" customFormat="1"/>
    <row r="2398" customFormat="1"/>
    <row r="2399" customFormat="1"/>
    <row r="2400" customFormat="1"/>
    <row r="2401" customFormat="1"/>
    <row r="2402" customFormat="1"/>
    <row r="2403" customFormat="1"/>
    <row r="2404" customFormat="1"/>
    <row r="2405" customFormat="1"/>
    <row r="2406" customFormat="1"/>
    <row r="2407" customFormat="1"/>
    <row r="2408" customFormat="1"/>
    <row r="2409" customFormat="1"/>
    <row r="2410" customFormat="1"/>
    <row r="2411" customFormat="1"/>
    <row r="2412" customFormat="1"/>
    <row r="2413" customFormat="1"/>
    <row r="2414" customFormat="1"/>
    <row r="2415" customFormat="1"/>
    <row r="2416" customFormat="1"/>
    <row r="2417" customFormat="1"/>
    <row r="2418" customFormat="1"/>
    <row r="2419" customFormat="1"/>
    <row r="2420" customFormat="1"/>
    <row r="2421" customFormat="1"/>
    <row r="2422" customFormat="1"/>
    <row r="2423" customFormat="1"/>
    <row r="2424" customFormat="1"/>
    <row r="2425" customFormat="1"/>
    <row r="2426" customFormat="1"/>
    <row r="2427" customFormat="1"/>
    <row r="2428" customFormat="1"/>
    <row r="2429" customFormat="1"/>
    <row r="2430" customFormat="1"/>
    <row r="2431" customFormat="1"/>
    <row r="2432" customFormat="1"/>
    <row r="2433" customFormat="1"/>
    <row r="2434" customFormat="1"/>
    <row r="2435" customFormat="1"/>
    <row r="2436" customFormat="1"/>
    <row r="2437" customFormat="1"/>
    <row r="2438" customFormat="1"/>
    <row r="2439" customFormat="1"/>
    <row r="2440" customFormat="1"/>
    <row r="2441" customFormat="1"/>
    <row r="2442" customFormat="1"/>
    <row r="2443" customFormat="1"/>
    <row r="2444" customFormat="1"/>
    <row r="2445" customFormat="1"/>
    <row r="2446" customFormat="1"/>
    <row r="2447" customFormat="1"/>
    <row r="2448" customFormat="1"/>
    <row r="2449" customFormat="1"/>
    <row r="2450" customFormat="1"/>
    <row r="2451" customFormat="1"/>
    <row r="2452" customFormat="1"/>
    <row r="2453" customFormat="1"/>
    <row r="2454" customFormat="1"/>
    <row r="2455" customFormat="1"/>
    <row r="2456" customFormat="1"/>
    <row r="2457" customFormat="1"/>
    <row r="2458" customFormat="1"/>
    <row r="2459" customFormat="1"/>
    <row r="2460" customFormat="1"/>
    <row r="2461" customFormat="1"/>
    <row r="2462" customFormat="1"/>
    <row r="2463" customFormat="1"/>
    <row r="2464" customFormat="1"/>
    <row r="2465" customFormat="1"/>
    <row r="2466" customFormat="1"/>
    <row r="2467" customFormat="1"/>
    <row r="2468" customFormat="1"/>
    <row r="2469" customFormat="1"/>
    <row r="2470" customFormat="1"/>
    <row r="2471" customFormat="1"/>
    <row r="2472" customFormat="1"/>
    <row r="2473" customFormat="1"/>
    <row r="2474" customFormat="1"/>
    <row r="2475" customFormat="1"/>
    <row r="2476" customFormat="1"/>
    <row r="2477" customFormat="1"/>
    <row r="2478" customFormat="1"/>
    <row r="2479" customFormat="1"/>
    <row r="2480" customFormat="1"/>
    <row r="2481" customFormat="1"/>
    <row r="2482" customFormat="1"/>
    <row r="2483" customFormat="1"/>
    <row r="2484" customFormat="1"/>
    <row r="2485" customFormat="1"/>
    <row r="2486" customFormat="1"/>
    <row r="2487" customFormat="1"/>
    <row r="2488" customFormat="1"/>
    <row r="2489" customFormat="1"/>
    <row r="2490" customFormat="1"/>
    <row r="2491" customFormat="1"/>
    <row r="2492" customFormat="1"/>
    <row r="2493" customFormat="1"/>
    <row r="2494" customFormat="1"/>
    <row r="2495" customFormat="1"/>
    <row r="2496" customFormat="1"/>
    <row r="2497" customFormat="1"/>
    <row r="2498" customFormat="1"/>
    <row r="2499" customFormat="1"/>
    <row r="2500" customFormat="1"/>
    <row r="2501" customFormat="1"/>
    <row r="2502" customFormat="1"/>
    <row r="2503" customFormat="1"/>
    <row r="2504" customFormat="1"/>
    <row r="2505" customFormat="1"/>
    <row r="2506" customFormat="1"/>
    <row r="2507" customFormat="1"/>
    <row r="2508" customFormat="1"/>
    <row r="2509" customFormat="1"/>
    <row r="2510" customFormat="1"/>
    <row r="2511" customFormat="1"/>
    <row r="2512" customFormat="1"/>
    <row r="2513" customFormat="1"/>
    <row r="2514" customFormat="1"/>
    <row r="2515" customFormat="1"/>
    <row r="2516" customFormat="1"/>
    <row r="2517" customFormat="1"/>
    <row r="2518" customFormat="1"/>
    <row r="2519" customFormat="1"/>
    <row r="2520" customFormat="1"/>
    <row r="2521" customFormat="1"/>
    <row r="2522" customFormat="1"/>
    <row r="2523" customFormat="1"/>
    <row r="2524" customFormat="1"/>
    <row r="2525" customFormat="1"/>
    <row r="2526" customFormat="1"/>
    <row r="2527" customFormat="1"/>
    <row r="2528" customFormat="1"/>
    <row r="2529" customFormat="1"/>
    <row r="2530" customFormat="1"/>
    <row r="2531" customFormat="1"/>
    <row r="2532" customFormat="1"/>
    <row r="2533" customFormat="1"/>
    <row r="2534" customFormat="1"/>
    <row r="2535" customFormat="1"/>
    <row r="2536" customFormat="1"/>
    <row r="2537" customFormat="1"/>
    <row r="2538" customFormat="1"/>
    <row r="2539" customFormat="1"/>
    <row r="2540" customFormat="1"/>
    <row r="2541" customFormat="1"/>
    <row r="2542" customFormat="1"/>
    <row r="2543" customFormat="1"/>
    <row r="2544" customFormat="1"/>
    <row r="2545" customFormat="1"/>
    <row r="2546" customFormat="1"/>
    <row r="2547" customFormat="1"/>
    <row r="2548" customFormat="1"/>
    <row r="2549" customFormat="1"/>
    <row r="2550" customFormat="1"/>
    <row r="2551" customFormat="1"/>
    <row r="2552" customFormat="1"/>
    <row r="2553" customFormat="1"/>
    <row r="2554" customFormat="1"/>
    <row r="2555" customFormat="1"/>
    <row r="2556" customFormat="1"/>
    <row r="2557" customFormat="1"/>
    <row r="2558" customFormat="1"/>
    <row r="2559" customFormat="1"/>
    <row r="2560" customFormat="1"/>
    <row r="2561" customFormat="1"/>
    <row r="2562" customFormat="1"/>
    <row r="2563" customFormat="1"/>
    <row r="2564" customFormat="1"/>
    <row r="2565" customFormat="1"/>
    <row r="2566" customFormat="1"/>
    <row r="2567" customFormat="1"/>
    <row r="2568" customFormat="1"/>
    <row r="2569" customFormat="1"/>
    <row r="2570" customFormat="1"/>
    <row r="2571" customFormat="1"/>
    <row r="2572" customFormat="1"/>
    <row r="2573" customFormat="1"/>
    <row r="2574" customFormat="1"/>
    <row r="2575" customFormat="1"/>
    <row r="2576" customFormat="1"/>
    <row r="2577" customFormat="1"/>
    <row r="2578" customFormat="1"/>
    <row r="2579" customFormat="1"/>
    <row r="2580" customFormat="1"/>
    <row r="2581" customFormat="1"/>
    <row r="2582" customFormat="1"/>
    <row r="2583" customFormat="1"/>
    <row r="2584" customFormat="1"/>
    <row r="2585" customFormat="1"/>
    <row r="2586" customFormat="1"/>
    <row r="2587" customFormat="1"/>
    <row r="2588" customFormat="1"/>
    <row r="2589" customFormat="1"/>
    <row r="2590" customFormat="1"/>
    <row r="2591" customFormat="1"/>
    <row r="2592" customFormat="1"/>
    <row r="2593" customFormat="1"/>
    <row r="2594" customFormat="1"/>
    <row r="2595" customFormat="1"/>
    <row r="2596" customFormat="1"/>
    <row r="2597" customFormat="1"/>
    <row r="2598" customFormat="1"/>
    <row r="2599" customFormat="1"/>
    <row r="2600" customFormat="1"/>
    <row r="2601" customFormat="1"/>
    <row r="2602" customFormat="1"/>
    <row r="2603" customFormat="1"/>
    <row r="2604" customFormat="1"/>
    <row r="2605" customFormat="1"/>
    <row r="2606" customFormat="1"/>
    <row r="2607" customFormat="1"/>
    <row r="2608" customFormat="1"/>
    <row r="2609" customFormat="1"/>
    <row r="2610" customFormat="1"/>
    <row r="2611" customFormat="1"/>
    <row r="2612" customFormat="1"/>
    <row r="2613" customFormat="1"/>
    <row r="2614" customFormat="1"/>
    <row r="2615" customFormat="1"/>
    <row r="2616" customFormat="1"/>
    <row r="2617" customFormat="1"/>
    <row r="2618" customFormat="1"/>
    <row r="2619" customFormat="1"/>
    <row r="2620" customFormat="1"/>
    <row r="2621" customFormat="1"/>
    <row r="2622" customFormat="1"/>
    <row r="2623" customFormat="1"/>
    <row r="2624" customFormat="1"/>
    <row r="2625" customFormat="1"/>
    <row r="2626" customFormat="1"/>
    <row r="2627" customFormat="1"/>
    <row r="2628" customFormat="1"/>
    <row r="2629" customFormat="1"/>
    <row r="2630" customFormat="1"/>
    <row r="2631" customFormat="1"/>
    <row r="2632" customFormat="1"/>
    <row r="2633" customFormat="1"/>
    <row r="2634" customFormat="1"/>
    <row r="2635" customFormat="1"/>
    <row r="2636" customFormat="1"/>
    <row r="2637" customFormat="1"/>
    <row r="2638" customFormat="1"/>
    <row r="2639" customFormat="1"/>
    <row r="2640" customFormat="1"/>
    <row r="2641" customFormat="1"/>
    <row r="2642" customFormat="1"/>
    <row r="2643" customFormat="1"/>
    <row r="2644" customFormat="1"/>
    <row r="2645" customFormat="1"/>
    <row r="2646" customFormat="1"/>
    <row r="2647" customFormat="1"/>
    <row r="2648" customFormat="1"/>
    <row r="2649" customFormat="1"/>
    <row r="2650" customFormat="1"/>
    <row r="2651" customFormat="1"/>
    <row r="2652" customFormat="1"/>
    <row r="2653" customFormat="1"/>
    <row r="2654" customFormat="1"/>
    <row r="2655" customFormat="1"/>
    <row r="2656" customFormat="1"/>
    <row r="2657" customFormat="1"/>
    <row r="2658" customFormat="1"/>
    <row r="2659" customFormat="1"/>
    <row r="2660" customFormat="1"/>
    <row r="2661" customFormat="1"/>
    <row r="2662" customFormat="1"/>
    <row r="2663" customFormat="1"/>
    <row r="2664" customFormat="1"/>
    <row r="2665" customFormat="1"/>
    <row r="2666" customFormat="1"/>
    <row r="2667" customFormat="1"/>
    <row r="2668" customFormat="1"/>
    <row r="2669" customFormat="1"/>
    <row r="2670" customFormat="1"/>
    <row r="2671" customFormat="1"/>
    <row r="2672" customFormat="1"/>
    <row r="2673" customFormat="1"/>
    <row r="2674" customFormat="1"/>
    <row r="2675" customFormat="1"/>
    <row r="2676" customFormat="1"/>
    <row r="2677" customFormat="1"/>
    <row r="2678" customFormat="1"/>
    <row r="2679" customFormat="1"/>
    <row r="2680" customFormat="1"/>
    <row r="2681" customFormat="1"/>
    <row r="2682" customFormat="1"/>
    <row r="2683" customFormat="1"/>
    <row r="2684" customFormat="1"/>
    <row r="2685" customFormat="1"/>
    <row r="2686" customFormat="1"/>
    <row r="2687" customFormat="1"/>
    <row r="2688" customFormat="1"/>
    <row r="2689" customFormat="1"/>
    <row r="2690" customFormat="1"/>
    <row r="2691" customFormat="1"/>
    <row r="2692" customFormat="1"/>
    <row r="2693" customFormat="1"/>
    <row r="2694" customFormat="1"/>
    <row r="2695" customFormat="1"/>
    <row r="2696" customFormat="1"/>
    <row r="2697" customFormat="1"/>
    <row r="2698" customFormat="1"/>
    <row r="2699" customFormat="1"/>
    <row r="2700" customFormat="1"/>
    <row r="2701" customFormat="1"/>
    <row r="2702" customFormat="1"/>
    <row r="2703" customFormat="1"/>
    <row r="2704" customFormat="1"/>
    <row r="2705" customFormat="1"/>
    <row r="2706" customFormat="1"/>
    <row r="2707" customFormat="1"/>
    <row r="2708" customFormat="1"/>
    <row r="2709" customFormat="1"/>
    <row r="2710" customFormat="1"/>
    <row r="2711" customFormat="1"/>
    <row r="2712" customFormat="1"/>
    <row r="2713" customFormat="1"/>
    <row r="2714" customFormat="1"/>
    <row r="2715" customFormat="1"/>
    <row r="2716" customFormat="1"/>
    <row r="2717" customFormat="1"/>
    <row r="2718" customFormat="1"/>
    <row r="2719" customFormat="1"/>
    <row r="2720" customFormat="1"/>
    <row r="2721" customFormat="1"/>
    <row r="2722" customFormat="1"/>
    <row r="2723" customFormat="1"/>
    <row r="2724" customFormat="1"/>
    <row r="2725" customFormat="1"/>
    <row r="2726" customFormat="1"/>
    <row r="2727" customFormat="1"/>
    <row r="2728" customFormat="1"/>
    <row r="2729" customFormat="1"/>
    <row r="2730" customFormat="1"/>
    <row r="2731" customFormat="1"/>
    <row r="2732" customFormat="1"/>
    <row r="2733" customFormat="1"/>
    <row r="2734" customFormat="1"/>
    <row r="2735" customFormat="1"/>
    <row r="2736" customFormat="1"/>
    <row r="2737" customFormat="1"/>
    <row r="2738" customFormat="1"/>
    <row r="2739" customFormat="1"/>
    <row r="2740" customFormat="1"/>
    <row r="2741" customFormat="1"/>
    <row r="2742" customFormat="1"/>
    <row r="2743" customFormat="1"/>
    <row r="2744" customFormat="1"/>
    <row r="2745" customFormat="1"/>
    <row r="2746" customFormat="1"/>
    <row r="2747" customFormat="1"/>
    <row r="2748" customFormat="1"/>
    <row r="2749" customFormat="1"/>
    <row r="2750" customFormat="1"/>
    <row r="2751" customFormat="1"/>
    <row r="2752" customFormat="1"/>
    <row r="2753" customFormat="1"/>
    <row r="2754" customFormat="1"/>
    <row r="2755" customFormat="1"/>
    <row r="2756" customFormat="1"/>
    <row r="2757" customFormat="1"/>
    <row r="2758" customFormat="1"/>
    <row r="2759" customFormat="1"/>
    <row r="2760" customFormat="1"/>
    <row r="2761" customFormat="1"/>
    <row r="2762" customFormat="1"/>
    <row r="2763" customFormat="1"/>
    <row r="2764" customFormat="1"/>
    <row r="2765" customFormat="1"/>
    <row r="2766" customFormat="1"/>
    <row r="2767" customFormat="1"/>
    <row r="2768" customFormat="1"/>
    <row r="2769" customFormat="1"/>
    <row r="2770" customFormat="1"/>
    <row r="2771" customFormat="1"/>
    <row r="2772" customFormat="1"/>
    <row r="2773" customFormat="1"/>
    <row r="2774" customFormat="1"/>
    <row r="2775" customFormat="1"/>
    <row r="2776" customFormat="1"/>
    <row r="2777" customFormat="1"/>
    <row r="2778" customFormat="1"/>
    <row r="2779" customFormat="1"/>
    <row r="2780" customFormat="1"/>
    <row r="2781" customFormat="1"/>
    <row r="2782" customFormat="1"/>
    <row r="2783" customFormat="1"/>
    <row r="2784" customFormat="1"/>
    <row r="2785" customFormat="1"/>
    <row r="2786" customFormat="1"/>
    <row r="2787" customFormat="1"/>
    <row r="2788" customFormat="1"/>
    <row r="2789" customFormat="1"/>
    <row r="2790" customFormat="1"/>
    <row r="2791" customFormat="1"/>
    <row r="2792" customFormat="1"/>
    <row r="2793" customFormat="1"/>
    <row r="2794" customFormat="1"/>
    <row r="2795" customFormat="1"/>
    <row r="2796" customFormat="1"/>
    <row r="2797" customFormat="1"/>
    <row r="2798" customFormat="1"/>
    <row r="2799" customFormat="1"/>
    <row r="2800" customFormat="1"/>
    <row r="2801" customFormat="1"/>
    <row r="2802" customFormat="1"/>
    <row r="2803" customFormat="1"/>
    <row r="2804" customFormat="1"/>
    <row r="2805" customFormat="1"/>
    <row r="2806" customFormat="1"/>
    <row r="2807" customFormat="1"/>
    <row r="2808" customFormat="1"/>
    <row r="2809" customFormat="1"/>
    <row r="2810" customFormat="1"/>
    <row r="2811" customFormat="1"/>
    <row r="2812" customFormat="1"/>
    <row r="2813" customFormat="1"/>
    <row r="2814" customFormat="1"/>
    <row r="2815" customFormat="1"/>
    <row r="2816" customFormat="1"/>
    <row r="2817" customFormat="1"/>
    <row r="2818" customFormat="1"/>
    <row r="2819" customFormat="1"/>
    <row r="2820" customFormat="1"/>
    <row r="2821" customFormat="1"/>
    <row r="2822" customFormat="1"/>
    <row r="2823" customFormat="1"/>
    <row r="2824" customFormat="1"/>
    <row r="2825" customFormat="1"/>
    <row r="2826" customFormat="1"/>
    <row r="2827" customFormat="1"/>
    <row r="2828" customFormat="1"/>
    <row r="2829" customFormat="1"/>
    <row r="2830" customFormat="1"/>
    <row r="2831" customFormat="1"/>
    <row r="2832" customFormat="1"/>
    <row r="2833" customFormat="1"/>
    <row r="2834" customFormat="1"/>
    <row r="2835" customFormat="1"/>
    <row r="2836" customFormat="1"/>
    <row r="2837" customFormat="1"/>
    <row r="2838" customFormat="1"/>
    <row r="2839" customFormat="1"/>
    <row r="2840" customFormat="1"/>
    <row r="2841" customFormat="1"/>
    <row r="2842" customFormat="1"/>
    <row r="2843" customFormat="1"/>
    <row r="2844" customFormat="1"/>
    <row r="2845" customFormat="1"/>
    <row r="2846" customFormat="1"/>
    <row r="2847" customFormat="1"/>
    <row r="2848" customFormat="1"/>
    <row r="2849" customFormat="1"/>
    <row r="2850" customFormat="1"/>
    <row r="2851" customFormat="1"/>
    <row r="2852" customFormat="1"/>
    <row r="2853" customFormat="1"/>
    <row r="2854" customFormat="1"/>
    <row r="2855" customFormat="1"/>
    <row r="2856" customFormat="1"/>
    <row r="2857" customFormat="1"/>
    <row r="2858" customFormat="1"/>
    <row r="2859" customFormat="1"/>
    <row r="2860" customFormat="1"/>
    <row r="2861" customFormat="1"/>
    <row r="2862" customFormat="1"/>
    <row r="2863" customFormat="1"/>
    <row r="2864" customFormat="1"/>
    <row r="2865" customFormat="1"/>
    <row r="2866" customFormat="1"/>
    <row r="2867" customFormat="1"/>
    <row r="2868" customFormat="1"/>
    <row r="2869" customFormat="1"/>
    <row r="2870" customFormat="1"/>
    <row r="2871" customFormat="1"/>
    <row r="2872" customFormat="1"/>
    <row r="2873" customFormat="1"/>
    <row r="2874" customFormat="1"/>
    <row r="2875" customFormat="1"/>
    <row r="2876" customFormat="1"/>
    <row r="2877" customFormat="1"/>
    <row r="2878" customFormat="1"/>
    <row r="2879" customFormat="1"/>
    <row r="2880" customFormat="1"/>
    <row r="2881" customFormat="1"/>
    <row r="2882" customFormat="1"/>
    <row r="2883" customFormat="1"/>
    <row r="2884" customFormat="1"/>
    <row r="2885" customFormat="1"/>
    <row r="2886" customFormat="1"/>
    <row r="2887" customFormat="1"/>
    <row r="2888" customFormat="1"/>
    <row r="2889" customFormat="1"/>
    <row r="2890" customFormat="1"/>
    <row r="2891" customFormat="1"/>
    <row r="2892" customFormat="1"/>
    <row r="2893" customFormat="1"/>
    <row r="2894" customFormat="1"/>
    <row r="2895" customFormat="1"/>
    <row r="2896" customFormat="1"/>
    <row r="2897" customFormat="1"/>
    <row r="2898" customFormat="1"/>
    <row r="2899" customFormat="1"/>
    <row r="2900" customFormat="1"/>
    <row r="2901" customFormat="1"/>
    <row r="2902" customFormat="1"/>
    <row r="2903" customFormat="1"/>
    <row r="2904" customFormat="1"/>
    <row r="2905" customFormat="1"/>
    <row r="2906" customFormat="1"/>
    <row r="2907" customFormat="1"/>
    <row r="2908" customFormat="1"/>
    <row r="2909" customFormat="1"/>
    <row r="2910" customFormat="1"/>
    <row r="2911" customFormat="1"/>
    <row r="2912" customFormat="1"/>
    <row r="2913" customFormat="1"/>
    <row r="2914" customFormat="1"/>
    <row r="2915" customFormat="1"/>
    <row r="2916" customFormat="1"/>
    <row r="2917" customFormat="1"/>
    <row r="2918" customFormat="1"/>
    <row r="2919" customFormat="1"/>
    <row r="2920" customFormat="1"/>
    <row r="2921" customFormat="1"/>
    <row r="2922" customFormat="1"/>
    <row r="2923" customFormat="1"/>
    <row r="2924" customFormat="1"/>
    <row r="2925" customFormat="1"/>
    <row r="2926" customFormat="1"/>
    <row r="2927" customFormat="1"/>
    <row r="2928" customFormat="1"/>
    <row r="2929" customFormat="1"/>
    <row r="2930" customFormat="1"/>
    <row r="2931" customFormat="1"/>
    <row r="2932" customFormat="1"/>
    <row r="2933" customFormat="1"/>
    <row r="2934" customFormat="1"/>
    <row r="2935" customFormat="1"/>
    <row r="2936" customFormat="1"/>
    <row r="2937" customFormat="1"/>
    <row r="2938" customFormat="1"/>
    <row r="2939" customFormat="1"/>
    <row r="2940" customFormat="1"/>
    <row r="2941" customFormat="1"/>
    <row r="2942" customFormat="1"/>
    <row r="2943" customFormat="1"/>
    <row r="2944" customFormat="1"/>
    <row r="2945" customFormat="1"/>
    <row r="2946" customFormat="1"/>
    <row r="2947" customFormat="1"/>
    <row r="2948" customFormat="1"/>
    <row r="2949" customFormat="1"/>
    <row r="2950" customFormat="1"/>
    <row r="2951" customFormat="1"/>
    <row r="2952" customFormat="1"/>
    <row r="2953" customFormat="1"/>
    <row r="2954" customFormat="1"/>
    <row r="2955" customFormat="1"/>
    <row r="2956" customFormat="1"/>
    <row r="2957" customFormat="1"/>
    <row r="2958" customFormat="1"/>
    <row r="2959" customFormat="1"/>
    <row r="2960" customFormat="1"/>
    <row r="2961" customFormat="1"/>
    <row r="2962" customFormat="1"/>
    <row r="2963" customFormat="1"/>
    <row r="2964" customFormat="1"/>
    <row r="2965" customFormat="1"/>
    <row r="2966" customFormat="1"/>
    <row r="2967" customFormat="1"/>
    <row r="2968" customFormat="1"/>
    <row r="2969" customFormat="1"/>
    <row r="2970" customFormat="1"/>
    <row r="2971" customFormat="1"/>
    <row r="2972" customFormat="1"/>
    <row r="2973" customFormat="1"/>
    <row r="2974" customFormat="1"/>
    <row r="2975" customFormat="1"/>
    <row r="2976" customFormat="1"/>
    <row r="2977" customFormat="1"/>
    <row r="2978" customFormat="1"/>
    <row r="2979" customFormat="1"/>
    <row r="2980" customFormat="1"/>
    <row r="2981" customFormat="1"/>
    <row r="2982" customFormat="1"/>
    <row r="2983" customFormat="1"/>
    <row r="2984" customFormat="1"/>
    <row r="2985" customFormat="1"/>
    <row r="2986" customFormat="1"/>
    <row r="2987" customFormat="1"/>
    <row r="2988" customFormat="1"/>
    <row r="2989" customFormat="1"/>
    <row r="2990" customFormat="1"/>
    <row r="2991" customFormat="1"/>
    <row r="2992" customFormat="1"/>
    <row r="2993" customFormat="1"/>
    <row r="2994" customFormat="1"/>
    <row r="2995" customFormat="1"/>
    <row r="2996" customFormat="1"/>
    <row r="2997" customFormat="1"/>
    <row r="2998" customFormat="1"/>
    <row r="2999" customFormat="1"/>
    <row r="3000" customFormat="1"/>
    <row r="3001" customFormat="1"/>
    <row r="3002" customFormat="1"/>
    <row r="3003" customFormat="1"/>
    <row r="3004" customFormat="1"/>
    <row r="3005" customFormat="1"/>
    <row r="3006" customFormat="1"/>
    <row r="3007" customFormat="1"/>
    <row r="3008" customFormat="1"/>
    <row r="3009" customFormat="1"/>
    <row r="3010" customFormat="1"/>
    <row r="3011" customFormat="1"/>
    <row r="3012" customFormat="1"/>
    <row r="3013" customFormat="1"/>
    <row r="3014" customFormat="1"/>
    <row r="3015" customFormat="1"/>
    <row r="3016" customFormat="1"/>
    <row r="3017" customFormat="1"/>
    <row r="3018" customFormat="1"/>
    <row r="3019" customFormat="1"/>
    <row r="3020" customFormat="1"/>
    <row r="3021" customFormat="1"/>
    <row r="3022" customFormat="1"/>
    <row r="3023" customFormat="1"/>
    <row r="3024" customFormat="1"/>
    <row r="3025" customFormat="1"/>
    <row r="3026" customFormat="1"/>
    <row r="3027" customFormat="1"/>
    <row r="3028" customFormat="1"/>
    <row r="3029" customFormat="1"/>
    <row r="3030" customFormat="1"/>
    <row r="3031" customFormat="1"/>
    <row r="3032" customFormat="1"/>
    <row r="3033" customFormat="1"/>
    <row r="3034" customFormat="1"/>
    <row r="3035" customFormat="1"/>
    <row r="3036" customFormat="1"/>
    <row r="3037" customFormat="1"/>
    <row r="3038" customFormat="1"/>
    <row r="3039" customFormat="1"/>
    <row r="3040" customFormat="1"/>
    <row r="3041" customFormat="1"/>
    <row r="3042" customFormat="1"/>
    <row r="3043" customFormat="1"/>
    <row r="3044" customFormat="1"/>
    <row r="3045" customFormat="1"/>
    <row r="3046" customFormat="1"/>
    <row r="3047" customFormat="1"/>
    <row r="3048" customFormat="1"/>
    <row r="3049" customFormat="1"/>
    <row r="3050" customFormat="1"/>
    <row r="3051" customFormat="1"/>
    <row r="3052" customFormat="1"/>
    <row r="3053" customFormat="1"/>
    <row r="3054" customFormat="1"/>
    <row r="3055" customFormat="1"/>
    <row r="3056" customFormat="1"/>
    <row r="3057" customFormat="1"/>
    <row r="3058" customFormat="1"/>
    <row r="3059" customFormat="1"/>
    <row r="3060" customFormat="1"/>
    <row r="3061" customFormat="1"/>
    <row r="3062" customFormat="1"/>
    <row r="3063" customFormat="1"/>
    <row r="3064" customFormat="1"/>
    <row r="3065" customFormat="1"/>
    <row r="3066" customFormat="1"/>
    <row r="3067" customFormat="1"/>
    <row r="3068" customFormat="1"/>
    <row r="3069" customFormat="1"/>
    <row r="3070" customFormat="1"/>
    <row r="3071" customFormat="1"/>
    <row r="3072" customFormat="1"/>
    <row r="3073" customFormat="1"/>
    <row r="3074" customFormat="1"/>
    <row r="3075" customFormat="1"/>
    <row r="3076" customFormat="1"/>
    <row r="3077" customFormat="1"/>
    <row r="3078" customFormat="1"/>
    <row r="3079" customFormat="1"/>
    <row r="3080" customFormat="1"/>
    <row r="3081" customFormat="1"/>
    <row r="3082" customFormat="1"/>
    <row r="3083" customFormat="1"/>
    <row r="3084" customFormat="1"/>
    <row r="3085" customFormat="1"/>
    <row r="3086" customFormat="1"/>
    <row r="3087" customFormat="1"/>
    <row r="3088" customFormat="1"/>
    <row r="3089" customFormat="1"/>
    <row r="3090" customFormat="1"/>
    <row r="3091" customFormat="1"/>
    <row r="3092" customFormat="1"/>
    <row r="3093" customFormat="1"/>
    <row r="3094" customFormat="1"/>
    <row r="3095" customFormat="1"/>
    <row r="3096" customFormat="1"/>
    <row r="3097" customFormat="1"/>
    <row r="3098" customFormat="1"/>
    <row r="3099" customFormat="1"/>
    <row r="3100" customFormat="1"/>
    <row r="3101" customFormat="1"/>
    <row r="3102" customFormat="1"/>
    <row r="3103" customFormat="1"/>
    <row r="3104" customFormat="1"/>
    <row r="3105" customFormat="1"/>
    <row r="3106" customFormat="1"/>
    <row r="3107" customFormat="1"/>
    <row r="3108" customFormat="1"/>
    <row r="3109" customFormat="1"/>
    <row r="3110" customFormat="1"/>
    <row r="3111" customFormat="1"/>
    <row r="3112" customFormat="1"/>
    <row r="3113" customFormat="1"/>
    <row r="3114" customFormat="1"/>
    <row r="3115" customFormat="1"/>
    <row r="3116" customFormat="1"/>
    <row r="3117" customFormat="1"/>
    <row r="3118" customFormat="1"/>
    <row r="3119" customFormat="1"/>
    <row r="3120" customFormat="1"/>
    <row r="3121" customFormat="1"/>
    <row r="3122" customFormat="1"/>
    <row r="3123" customFormat="1"/>
    <row r="3124" customFormat="1"/>
    <row r="3125" customFormat="1"/>
    <row r="3126" customFormat="1"/>
    <row r="3127" customFormat="1"/>
    <row r="3128" customFormat="1"/>
    <row r="3129" customFormat="1"/>
    <row r="3130" customFormat="1"/>
    <row r="3131" customFormat="1"/>
    <row r="3132" customFormat="1"/>
    <row r="3133" customFormat="1"/>
    <row r="3134" customFormat="1"/>
    <row r="3135" customFormat="1"/>
    <row r="3136" customFormat="1"/>
    <row r="3137" customFormat="1"/>
    <row r="3138" customFormat="1"/>
    <row r="3139" customFormat="1"/>
    <row r="3140" customFormat="1"/>
    <row r="3141" customFormat="1"/>
    <row r="3142" customFormat="1"/>
    <row r="3143" customFormat="1"/>
    <row r="3144" customFormat="1"/>
    <row r="3145" customFormat="1"/>
    <row r="3146" customFormat="1"/>
    <row r="3147" customFormat="1"/>
    <row r="3148" customFormat="1"/>
    <row r="3149" customFormat="1"/>
    <row r="3150" customFormat="1"/>
    <row r="3151" customFormat="1"/>
    <row r="3152" customFormat="1"/>
    <row r="3153" customFormat="1"/>
    <row r="3154" customFormat="1"/>
    <row r="3155" customFormat="1"/>
    <row r="3156" customFormat="1"/>
    <row r="3157" customFormat="1"/>
    <row r="3158" customFormat="1"/>
    <row r="3159" customFormat="1"/>
    <row r="3160" customFormat="1"/>
    <row r="3161" customFormat="1"/>
    <row r="3162" customFormat="1"/>
    <row r="3163" customFormat="1"/>
    <row r="3164" customFormat="1"/>
    <row r="3165" customFormat="1"/>
    <row r="3166" customFormat="1"/>
    <row r="3167" customFormat="1"/>
    <row r="3168" customFormat="1"/>
    <row r="3169" customFormat="1"/>
    <row r="3170" customFormat="1"/>
    <row r="3171" customFormat="1"/>
    <row r="3172" customFormat="1"/>
    <row r="3173" customFormat="1"/>
    <row r="3174" customFormat="1"/>
    <row r="3175" customFormat="1"/>
    <row r="3176" customFormat="1"/>
    <row r="3177" customFormat="1"/>
    <row r="3178" customFormat="1"/>
    <row r="3179" customFormat="1"/>
    <row r="3180" customFormat="1"/>
    <row r="3181" customFormat="1"/>
    <row r="3182" customFormat="1"/>
    <row r="3183" customFormat="1"/>
    <row r="3184" customFormat="1"/>
    <row r="3185" customFormat="1"/>
    <row r="3186" customFormat="1"/>
    <row r="3187" customFormat="1"/>
    <row r="3188" customFormat="1"/>
    <row r="3189" customFormat="1"/>
    <row r="3190" customFormat="1"/>
    <row r="3191" customFormat="1"/>
    <row r="3192" customFormat="1"/>
    <row r="3193" customFormat="1"/>
    <row r="3194" customFormat="1"/>
    <row r="3195" customFormat="1"/>
    <row r="3196" customFormat="1"/>
    <row r="3197" customFormat="1"/>
    <row r="3198" customFormat="1"/>
    <row r="3199" customFormat="1"/>
    <row r="3200" customFormat="1"/>
    <row r="3201" customFormat="1"/>
    <row r="3202" customFormat="1"/>
    <row r="3203" customFormat="1"/>
    <row r="3204" customFormat="1"/>
    <row r="3205" customFormat="1"/>
    <row r="3206" customFormat="1"/>
    <row r="3207" customFormat="1"/>
    <row r="3208" customFormat="1"/>
    <row r="3209" customFormat="1"/>
    <row r="3210" customFormat="1"/>
    <row r="3211" customFormat="1"/>
    <row r="3212" customFormat="1"/>
    <row r="3213" customFormat="1"/>
    <row r="3214" customFormat="1"/>
    <row r="3215" customFormat="1"/>
    <row r="3216" customFormat="1"/>
    <row r="3217" customFormat="1"/>
    <row r="3218" customFormat="1"/>
    <row r="3219" customFormat="1"/>
    <row r="3220" customFormat="1"/>
    <row r="3221" customFormat="1"/>
    <row r="3222" customFormat="1"/>
    <row r="3223" customFormat="1"/>
    <row r="3224" customFormat="1"/>
    <row r="3225" customFormat="1"/>
    <row r="3226" customFormat="1"/>
    <row r="3227" customFormat="1"/>
    <row r="3228" customFormat="1"/>
    <row r="3229" customFormat="1"/>
    <row r="3230" customFormat="1"/>
    <row r="3231" customFormat="1"/>
    <row r="3232" customFormat="1"/>
    <row r="3233" customFormat="1"/>
    <row r="3234" customFormat="1"/>
    <row r="3235" customFormat="1"/>
    <row r="3236" customFormat="1"/>
    <row r="3237" customFormat="1"/>
    <row r="3238" customFormat="1"/>
    <row r="3239" customFormat="1"/>
    <row r="3240" customFormat="1"/>
    <row r="3241" customFormat="1"/>
    <row r="3242" customFormat="1"/>
    <row r="3243" customFormat="1"/>
    <row r="3244" customFormat="1"/>
    <row r="3245" customFormat="1"/>
    <row r="3246" customFormat="1"/>
    <row r="3247" customFormat="1"/>
    <row r="3248" customFormat="1"/>
    <row r="3249" customFormat="1"/>
    <row r="3250" customFormat="1"/>
    <row r="3251" customFormat="1"/>
    <row r="3252" customFormat="1"/>
    <row r="3253" customFormat="1"/>
    <row r="3254" customFormat="1"/>
    <row r="3255" customFormat="1"/>
    <row r="3256" customFormat="1"/>
    <row r="3257" customFormat="1"/>
    <row r="3258" customFormat="1"/>
    <row r="3259" customFormat="1"/>
    <row r="3260" customFormat="1"/>
    <row r="3261" customFormat="1"/>
    <row r="3262" customFormat="1"/>
    <row r="3263" customFormat="1"/>
    <row r="3264" customFormat="1"/>
    <row r="3265" customFormat="1"/>
    <row r="3266" customFormat="1"/>
    <row r="3267" customFormat="1"/>
    <row r="3268" customFormat="1"/>
    <row r="3269" customFormat="1"/>
    <row r="3270" customFormat="1"/>
    <row r="3271" customFormat="1"/>
    <row r="3272" customFormat="1"/>
    <row r="3273" customFormat="1"/>
    <row r="3274" customFormat="1"/>
    <row r="3275" customFormat="1"/>
    <row r="3276" customFormat="1"/>
    <row r="3277" customFormat="1"/>
    <row r="3278" customFormat="1"/>
    <row r="3279" customFormat="1"/>
    <row r="3280" customFormat="1"/>
    <row r="3281" customFormat="1"/>
    <row r="3282" customFormat="1"/>
    <row r="3283" customFormat="1"/>
    <row r="3284" customFormat="1"/>
    <row r="3285" customFormat="1"/>
    <row r="3286" customFormat="1"/>
    <row r="3287" customFormat="1"/>
    <row r="3288" customFormat="1"/>
    <row r="3289" customFormat="1"/>
    <row r="3290" customFormat="1"/>
    <row r="3291" customFormat="1"/>
    <row r="3292" customFormat="1"/>
    <row r="3293" customFormat="1"/>
    <row r="3294" customFormat="1"/>
    <row r="3295" customFormat="1"/>
    <row r="3296" customFormat="1"/>
    <row r="3297" customFormat="1"/>
    <row r="3298" customFormat="1"/>
    <row r="3299" customFormat="1"/>
    <row r="3300" customFormat="1"/>
    <row r="3301" customFormat="1"/>
    <row r="3302" customFormat="1"/>
    <row r="3303" customFormat="1"/>
    <row r="3304" customFormat="1"/>
    <row r="3305" customFormat="1"/>
    <row r="3306" customFormat="1"/>
    <row r="3307" customFormat="1"/>
    <row r="3308" customFormat="1"/>
    <row r="3309" customFormat="1"/>
    <row r="3310" customFormat="1"/>
    <row r="3311" customFormat="1"/>
    <row r="3312" customFormat="1"/>
    <row r="3313" customFormat="1"/>
    <row r="3314" customFormat="1"/>
    <row r="3315" customFormat="1"/>
    <row r="3316" customFormat="1"/>
    <row r="3317" customFormat="1"/>
    <row r="3318" customFormat="1"/>
    <row r="3319" customFormat="1"/>
    <row r="3320" customFormat="1"/>
    <row r="3321" customFormat="1"/>
    <row r="3322" customFormat="1"/>
    <row r="3323" customFormat="1"/>
    <row r="3324" customFormat="1"/>
    <row r="3325" customFormat="1"/>
    <row r="3326" customFormat="1"/>
    <row r="3327" customFormat="1"/>
    <row r="3328" customFormat="1"/>
    <row r="3329" customFormat="1"/>
    <row r="3330" customFormat="1"/>
    <row r="3331" customFormat="1"/>
    <row r="3332" customFormat="1"/>
    <row r="3333" customFormat="1"/>
    <row r="3334" customFormat="1"/>
    <row r="3335" customFormat="1"/>
    <row r="3336" customFormat="1"/>
    <row r="3337" customFormat="1"/>
    <row r="3338" customFormat="1"/>
    <row r="3339" customFormat="1"/>
    <row r="3340" customFormat="1"/>
    <row r="3341" customFormat="1"/>
    <row r="3342" customFormat="1"/>
    <row r="3343" customFormat="1"/>
    <row r="3344" customFormat="1"/>
    <row r="3345" customFormat="1"/>
    <row r="3346" customFormat="1"/>
    <row r="3347" customFormat="1"/>
    <row r="3348" customFormat="1"/>
    <row r="3349" customFormat="1"/>
    <row r="3350" customFormat="1"/>
    <row r="3351" customFormat="1"/>
    <row r="3352" customFormat="1"/>
    <row r="3353" customFormat="1"/>
    <row r="3354" customFormat="1"/>
    <row r="3355" customFormat="1"/>
    <row r="3356" customFormat="1"/>
    <row r="3357" customFormat="1"/>
    <row r="3358" customFormat="1"/>
    <row r="3359" customFormat="1"/>
    <row r="3360" customFormat="1"/>
    <row r="3361" customFormat="1"/>
    <row r="3362" customFormat="1"/>
    <row r="3363" customFormat="1"/>
    <row r="3364" customFormat="1"/>
    <row r="3365" customFormat="1"/>
    <row r="3366" customFormat="1"/>
    <row r="3367" customFormat="1"/>
    <row r="3368" customFormat="1"/>
    <row r="3369" customFormat="1"/>
    <row r="3370" customFormat="1"/>
    <row r="3371" customFormat="1"/>
    <row r="3372" customFormat="1"/>
    <row r="3373" customFormat="1"/>
    <row r="3374" customFormat="1"/>
    <row r="3375" customFormat="1"/>
    <row r="3376" customFormat="1"/>
    <row r="3377" customFormat="1"/>
    <row r="3378" customFormat="1"/>
    <row r="3379" customFormat="1"/>
    <row r="3380" customFormat="1"/>
    <row r="3381" customFormat="1"/>
    <row r="3382" customFormat="1"/>
    <row r="3383" customFormat="1"/>
    <row r="3384" customFormat="1"/>
    <row r="3385" customFormat="1"/>
    <row r="3386" customFormat="1"/>
    <row r="3387" customFormat="1"/>
    <row r="3388" customFormat="1"/>
    <row r="3389" customFormat="1"/>
    <row r="3390" customFormat="1"/>
    <row r="3391" customFormat="1"/>
    <row r="3392" customFormat="1"/>
    <row r="3393" customFormat="1"/>
    <row r="3394" customFormat="1"/>
    <row r="3395" customFormat="1"/>
    <row r="3396" customFormat="1"/>
    <row r="3397" customFormat="1"/>
    <row r="3398" customFormat="1"/>
    <row r="3399" customFormat="1"/>
    <row r="3400" customFormat="1"/>
    <row r="3401" customFormat="1"/>
    <row r="3402" customFormat="1"/>
    <row r="3403" customFormat="1"/>
    <row r="3404" customFormat="1"/>
    <row r="3405" customFormat="1"/>
    <row r="3406" customFormat="1"/>
    <row r="3407" customFormat="1"/>
    <row r="3408" customFormat="1"/>
    <row r="3409" customFormat="1"/>
    <row r="3410" customFormat="1"/>
    <row r="3411" customFormat="1"/>
    <row r="3412" customFormat="1"/>
    <row r="3413" customFormat="1"/>
    <row r="3414" customFormat="1"/>
    <row r="3415" customFormat="1"/>
    <row r="3416" customFormat="1"/>
    <row r="3417" customFormat="1"/>
    <row r="3418" customFormat="1"/>
    <row r="3419" customFormat="1"/>
    <row r="3420" customFormat="1"/>
    <row r="3421" customFormat="1"/>
    <row r="3422" customFormat="1"/>
    <row r="3423" customFormat="1"/>
    <row r="3424" customFormat="1"/>
    <row r="3425" customFormat="1"/>
    <row r="3426" customFormat="1"/>
    <row r="3427" customFormat="1"/>
    <row r="3428" customFormat="1"/>
    <row r="3429" customFormat="1"/>
    <row r="3430" customFormat="1"/>
    <row r="3431" customFormat="1"/>
    <row r="3432" customFormat="1"/>
    <row r="3433" customFormat="1"/>
    <row r="3434" customFormat="1"/>
    <row r="3435" customFormat="1"/>
    <row r="3436" customFormat="1"/>
    <row r="3437" customFormat="1"/>
    <row r="3438" customFormat="1"/>
    <row r="3439" customFormat="1"/>
    <row r="3440" customFormat="1"/>
    <row r="3441" customFormat="1"/>
    <row r="3442" customFormat="1"/>
    <row r="3443" customFormat="1"/>
    <row r="3444" customFormat="1"/>
    <row r="3445" customFormat="1"/>
    <row r="3446" customFormat="1"/>
    <row r="3447" customFormat="1"/>
    <row r="3448" customFormat="1"/>
    <row r="3449" customFormat="1"/>
    <row r="3450" customFormat="1"/>
    <row r="3451" customFormat="1"/>
    <row r="3452" customFormat="1"/>
    <row r="3453" customFormat="1"/>
    <row r="3454" customFormat="1"/>
    <row r="3455" customFormat="1"/>
    <row r="3456" customFormat="1"/>
    <row r="3457" customFormat="1"/>
    <row r="3458" customFormat="1"/>
    <row r="3459" customFormat="1"/>
    <row r="3460" customFormat="1"/>
    <row r="3461" customFormat="1"/>
    <row r="3462" customFormat="1"/>
    <row r="3463" customFormat="1"/>
    <row r="3464" customFormat="1"/>
    <row r="3465" customFormat="1"/>
    <row r="3466" customFormat="1"/>
    <row r="3467" customFormat="1"/>
    <row r="3468" customFormat="1"/>
    <row r="3469" customFormat="1"/>
    <row r="3470" customFormat="1"/>
    <row r="3471" customFormat="1"/>
    <row r="3472" customFormat="1"/>
    <row r="3473" customFormat="1"/>
    <row r="3474" customFormat="1"/>
    <row r="3475" customFormat="1"/>
    <row r="3476" customFormat="1"/>
    <row r="3477" customFormat="1"/>
    <row r="3478" customFormat="1"/>
    <row r="3479" customFormat="1"/>
    <row r="3480" customFormat="1"/>
    <row r="3481" customFormat="1"/>
    <row r="3482" customFormat="1"/>
    <row r="3483" customFormat="1"/>
    <row r="3484" customFormat="1"/>
    <row r="3485" customFormat="1"/>
    <row r="3486" customFormat="1"/>
    <row r="3487" customFormat="1"/>
    <row r="3488" customFormat="1"/>
    <row r="3489" customFormat="1"/>
    <row r="3490" customFormat="1"/>
    <row r="3491" customFormat="1"/>
    <row r="3492" customFormat="1"/>
    <row r="3493" customFormat="1"/>
    <row r="3494" customFormat="1"/>
    <row r="3495" customFormat="1"/>
    <row r="3496" customFormat="1"/>
    <row r="3497" customFormat="1"/>
    <row r="3498" customFormat="1"/>
    <row r="3499" customFormat="1"/>
    <row r="3500" customFormat="1"/>
    <row r="3501" customFormat="1"/>
    <row r="3502" customFormat="1"/>
    <row r="3503" customFormat="1"/>
    <row r="3504" customFormat="1"/>
    <row r="3505" customFormat="1"/>
    <row r="3506" customFormat="1"/>
    <row r="3507" customFormat="1"/>
    <row r="3508" customFormat="1"/>
    <row r="3509" customFormat="1"/>
    <row r="3510" customFormat="1"/>
    <row r="3511" customFormat="1"/>
    <row r="3512" customFormat="1"/>
    <row r="3513" customFormat="1"/>
    <row r="3514" customFormat="1"/>
    <row r="3515" customFormat="1"/>
    <row r="3516" customFormat="1"/>
    <row r="3517" customFormat="1"/>
    <row r="3518" customFormat="1"/>
    <row r="3519" customFormat="1"/>
    <row r="3520" customFormat="1"/>
    <row r="3521" customFormat="1"/>
    <row r="3522" customFormat="1"/>
    <row r="3523" customFormat="1"/>
    <row r="3524" customFormat="1"/>
    <row r="3525" customFormat="1"/>
    <row r="3526" customFormat="1"/>
    <row r="3527" customFormat="1"/>
    <row r="3528" customFormat="1"/>
    <row r="3529" customFormat="1"/>
    <row r="3530" customFormat="1"/>
    <row r="3531" customFormat="1"/>
    <row r="3532" customFormat="1"/>
    <row r="3533" customFormat="1"/>
    <row r="3534" customFormat="1"/>
    <row r="3535" customFormat="1"/>
    <row r="3536" customFormat="1"/>
    <row r="3537" customFormat="1"/>
    <row r="3538" customFormat="1"/>
    <row r="3539" customFormat="1"/>
    <row r="3540" customFormat="1"/>
    <row r="3541" customFormat="1"/>
    <row r="3542" customFormat="1"/>
    <row r="3543" customFormat="1"/>
    <row r="3544" customFormat="1"/>
    <row r="3545" customFormat="1"/>
    <row r="3546" customFormat="1"/>
    <row r="3547" customFormat="1"/>
    <row r="3548" customFormat="1"/>
    <row r="3549" customFormat="1"/>
    <row r="3550" customFormat="1"/>
    <row r="3551" customFormat="1"/>
    <row r="3552" customFormat="1"/>
    <row r="3553" customFormat="1"/>
    <row r="3554" customFormat="1"/>
    <row r="3555" customFormat="1"/>
    <row r="3556" customFormat="1"/>
    <row r="3557" customFormat="1"/>
    <row r="3558" customFormat="1"/>
    <row r="3559" customFormat="1"/>
    <row r="3560" customFormat="1"/>
    <row r="3561" customFormat="1"/>
    <row r="3562" customFormat="1"/>
    <row r="3563" customFormat="1"/>
    <row r="3564" customFormat="1"/>
    <row r="3565" customFormat="1"/>
    <row r="3566" customFormat="1"/>
    <row r="3567" customFormat="1"/>
    <row r="3568" customFormat="1"/>
    <row r="3569" customFormat="1"/>
    <row r="3570" customFormat="1"/>
    <row r="3571" customFormat="1"/>
    <row r="3572" customFormat="1"/>
    <row r="3573" customFormat="1"/>
    <row r="3574" customFormat="1"/>
    <row r="3575" customFormat="1"/>
    <row r="3576" customFormat="1"/>
    <row r="3577" customFormat="1"/>
    <row r="3578" customFormat="1"/>
    <row r="3579" customFormat="1"/>
    <row r="3580" customFormat="1"/>
    <row r="3581" customFormat="1"/>
    <row r="3582" customFormat="1"/>
    <row r="3583" customFormat="1"/>
    <row r="3584" customFormat="1"/>
    <row r="3585" customFormat="1"/>
    <row r="3586" customFormat="1"/>
    <row r="3587" customFormat="1"/>
    <row r="3588" customFormat="1"/>
    <row r="3589" customFormat="1"/>
    <row r="3590" customFormat="1"/>
    <row r="3591" customFormat="1"/>
    <row r="3592" customFormat="1"/>
    <row r="3593" customFormat="1"/>
    <row r="3594" customFormat="1"/>
    <row r="3595" customFormat="1"/>
    <row r="3596" customFormat="1"/>
    <row r="3597" customFormat="1"/>
    <row r="3598" customFormat="1"/>
    <row r="3599" customFormat="1"/>
    <row r="3600" customFormat="1"/>
    <row r="3601" customFormat="1"/>
    <row r="3602" customFormat="1"/>
    <row r="3603" customFormat="1"/>
    <row r="3604" customFormat="1"/>
    <row r="3605" customFormat="1"/>
    <row r="3606" customFormat="1"/>
    <row r="3607" customFormat="1"/>
    <row r="3608" customFormat="1"/>
    <row r="3609" customFormat="1"/>
    <row r="3610" customFormat="1"/>
    <row r="3611" customFormat="1"/>
    <row r="3612" customFormat="1"/>
    <row r="3613" customFormat="1"/>
    <row r="3614" customFormat="1"/>
    <row r="3615" customFormat="1"/>
    <row r="3616" customFormat="1"/>
    <row r="3617" customFormat="1"/>
    <row r="3618" customFormat="1"/>
    <row r="3619" customFormat="1"/>
    <row r="3620" customFormat="1"/>
    <row r="3621" customFormat="1"/>
    <row r="3622" customFormat="1"/>
    <row r="3623" customFormat="1"/>
    <row r="3624" customFormat="1"/>
    <row r="3625" customFormat="1"/>
    <row r="3626" customFormat="1"/>
    <row r="3627" customFormat="1"/>
    <row r="3628" customFormat="1"/>
    <row r="3629" customFormat="1"/>
    <row r="3630" customFormat="1"/>
    <row r="3631" customFormat="1"/>
    <row r="3632" customFormat="1"/>
    <row r="3633" customFormat="1"/>
    <row r="3634" customFormat="1"/>
    <row r="3635" customFormat="1"/>
    <row r="3636" customFormat="1"/>
    <row r="3637" customFormat="1"/>
    <row r="3638" customFormat="1"/>
    <row r="3639" customFormat="1"/>
    <row r="3640" customFormat="1"/>
    <row r="3641" customFormat="1"/>
    <row r="3642" customFormat="1"/>
    <row r="3643" customFormat="1"/>
    <row r="3644" customFormat="1"/>
    <row r="3645" customFormat="1"/>
    <row r="3646" customFormat="1"/>
    <row r="3647" customFormat="1"/>
    <row r="3648" customFormat="1"/>
    <row r="3649" customFormat="1"/>
    <row r="3650" customFormat="1"/>
    <row r="3651" customFormat="1"/>
    <row r="3652" customFormat="1"/>
    <row r="3653" customFormat="1"/>
    <row r="3654" customFormat="1"/>
    <row r="3655" customFormat="1"/>
    <row r="3656" customFormat="1"/>
    <row r="3657" customFormat="1"/>
    <row r="3658" customFormat="1"/>
    <row r="3659" customFormat="1"/>
    <row r="3660" customFormat="1"/>
    <row r="3661" customFormat="1"/>
    <row r="3662" customFormat="1"/>
    <row r="3663" customFormat="1"/>
    <row r="3664" customFormat="1"/>
    <row r="3665" customFormat="1"/>
    <row r="3666" customFormat="1"/>
    <row r="3667" customFormat="1"/>
    <row r="3668" customFormat="1"/>
    <row r="3669" customFormat="1"/>
    <row r="3670" customFormat="1"/>
    <row r="3671" customFormat="1"/>
    <row r="3672" customFormat="1"/>
    <row r="3673" customFormat="1"/>
    <row r="3674" customFormat="1"/>
    <row r="3675" customFormat="1"/>
    <row r="3676" customFormat="1"/>
    <row r="3677" customFormat="1"/>
    <row r="3678" customFormat="1"/>
    <row r="3679" customFormat="1"/>
    <row r="3680" customFormat="1"/>
    <row r="3681" customFormat="1"/>
    <row r="3682" customFormat="1"/>
    <row r="3683" customFormat="1"/>
    <row r="3684" customFormat="1"/>
    <row r="3685" customFormat="1"/>
    <row r="3686" customFormat="1"/>
    <row r="3687" customFormat="1"/>
    <row r="3688" customFormat="1"/>
    <row r="3689" customFormat="1"/>
    <row r="3690" customFormat="1"/>
    <row r="3691" customFormat="1"/>
    <row r="3692" customFormat="1"/>
    <row r="3693" customFormat="1"/>
    <row r="3694" customFormat="1"/>
    <row r="3695" customFormat="1"/>
    <row r="3696" customFormat="1"/>
    <row r="3697" customFormat="1"/>
    <row r="3698" customFormat="1"/>
    <row r="3699" customFormat="1"/>
    <row r="3700" customFormat="1"/>
    <row r="3701" customFormat="1"/>
    <row r="3702" customFormat="1"/>
    <row r="3703" customFormat="1"/>
    <row r="3704" customFormat="1"/>
    <row r="3705" customFormat="1"/>
    <row r="3706" customFormat="1"/>
    <row r="3707" customFormat="1"/>
    <row r="3708" customFormat="1"/>
    <row r="3709" customFormat="1"/>
    <row r="3710" customFormat="1"/>
    <row r="3711" customFormat="1"/>
    <row r="3712" customFormat="1"/>
    <row r="3713" customFormat="1"/>
    <row r="3714" customFormat="1"/>
    <row r="3715" customFormat="1"/>
    <row r="3716" customFormat="1"/>
    <row r="3717" customFormat="1"/>
    <row r="3718" customFormat="1"/>
    <row r="3719" customFormat="1"/>
    <row r="3720" customFormat="1"/>
    <row r="3721" customFormat="1"/>
    <row r="3722" customFormat="1"/>
    <row r="3723" customFormat="1"/>
    <row r="3724" customFormat="1"/>
    <row r="3725" customFormat="1"/>
    <row r="3726" customFormat="1"/>
    <row r="3727" customFormat="1"/>
    <row r="3728" customFormat="1"/>
    <row r="3729" customFormat="1"/>
    <row r="3730" customFormat="1"/>
    <row r="3731" customFormat="1"/>
    <row r="3732" customFormat="1"/>
    <row r="3733" customFormat="1"/>
    <row r="3734" customFormat="1"/>
    <row r="3735" customFormat="1"/>
    <row r="3736" customFormat="1"/>
    <row r="3737" customFormat="1"/>
    <row r="3738" customFormat="1"/>
    <row r="3739" customFormat="1"/>
    <row r="3740" customFormat="1"/>
    <row r="3741" customFormat="1"/>
    <row r="3742" customFormat="1"/>
    <row r="3743" customFormat="1"/>
    <row r="3744" customFormat="1"/>
    <row r="3745" customFormat="1"/>
    <row r="3746" customFormat="1"/>
    <row r="3747" customFormat="1"/>
    <row r="3748" customFormat="1"/>
    <row r="3749" customFormat="1"/>
    <row r="3750" customFormat="1"/>
    <row r="3751" customFormat="1"/>
    <row r="3752" customFormat="1"/>
    <row r="3753" customFormat="1"/>
    <row r="3754" customFormat="1"/>
    <row r="3755" customFormat="1"/>
    <row r="3756" customFormat="1"/>
    <row r="3757" customFormat="1"/>
    <row r="3758" customFormat="1"/>
    <row r="3759" customFormat="1"/>
    <row r="3760" customFormat="1"/>
    <row r="3761" customFormat="1"/>
    <row r="3762" customFormat="1"/>
    <row r="3763" customFormat="1"/>
    <row r="3764" customFormat="1"/>
    <row r="3765" customFormat="1"/>
    <row r="3766" customFormat="1"/>
    <row r="3767" customFormat="1"/>
    <row r="3768" customFormat="1"/>
    <row r="3769" customFormat="1"/>
    <row r="3770" customFormat="1"/>
    <row r="3771" customFormat="1"/>
    <row r="3772" customFormat="1"/>
    <row r="3773" customFormat="1"/>
    <row r="3774" customFormat="1"/>
    <row r="3775" customFormat="1"/>
    <row r="3776" customFormat="1"/>
    <row r="3777" customFormat="1"/>
    <row r="3778" customFormat="1"/>
    <row r="3779" customFormat="1"/>
    <row r="3780" customFormat="1"/>
    <row r="3781" customFormat="1"/>
    <row r="3782" customFormat="1"/>
    <row r="3783" customFormat="1"/>
    <row r="3784" customFormat="1"/>
    <row r="3785" customFormat="1"/>
    <row r="3786" customFormat="1"/>
    <row r="3787" customFormat="1"/>
    <row r="3788" customFormat="1"/>
    <row r="3789" customFormat="1"/>
    <row r="3790" customFormat="1"/>
    <row r="3791" customFormat="1"/>
    <row r="3792" customFormat="1"/>
    <row r="3793" customFormat="1"/>
    <row r="3794" customFormat="1"/>
    <row r="3795" customFormat="1"/>
    <row r="3796" customFormat="1"/>
    <row r="3797" customFormat="1"/>
    <row r="3798" customFormat="1"/>
    <row r="3799" customFormat="1"/>
    <row r="3800" customFormat="1"/>
    <row r="3801" customFormat="1"/>
    <row r="3802" customFormat="1"/>
    <row r="3803" customFormat="1"/>
    <row r="3804" customFormat="1"/>
    <row r="3805" customFormat="1"/>
    <row r="3806" customFormat="1"/>
    <row r="3807" customFormat="1"/>
    <row r="3808" customFormat="1"/>
    <row r="3809" customFormat="1"/>
    <row r="3810" customFormat="1"/>
    <row r="3811" customFormat="1"/>
    <row r="3812" customFormat="1"/>
    <row r="3813" customFormat="1"/>
    <row r="3814" customFormat="1"/>
    <row r="3815" customFormat="1"/>
    <row r="3816" customFormat="1"/>
    <row r="3817" customFormat="1"/>
    <row r="3818" customFormat="1"/>
    <row r="3819" customFormat="1"/>
    <row r="3820" customFormat="1"/>
    <row r="3821" customFormat="1"/>
    <row r="3822" customFormat="1"/>
    <row r="3823" customFormat="1"/>
    <row r="3824" customFormat="1"/>
    <row r="3825" customFormat="1"/>
    <row r="3826" customFormat="1"/>
    <row r="3827" customFormat="1"/>
    <row r="3828" customFormat="1"/>
    <row r="3829" customFormat="1"/>
    <row r="3830" customFormat="1"/>
    <row r="3831" customFormat="1"/>
    <row r="3832" customFormat="1"/>
    <row r="3833" customFormat="1"/>
    <row r="3834" customFormat="1"/>
    <row r="3835" customFormat="1"/>
    <row r="3836" customFormat="1"/>
    <row r="3837" customFormat="1"/>
    <row r="3838" customFormat="1"/>
    <row r="3839" customFormat="1"/>
    <row r="3840" customFormat="1"/>
    <row r="3841" customFormat="1"/>
    <row r="3842" customFormat="1"/>
    <row r="3843" customFormat="1"/>
    <row r="3844" customFormat="1"/>
    <row r="3845" customFormat="1"/>
    <row r="3846" customFormat="1"/>
    <row r="3847" customFormat="1"/>
    <row r="3848" customFormat="1"/>
    <row r="3849" customFormat="1"/>
    <row r="3850" customFormat="1"/>
    <row r="3851" customFormat="1"/>
    <row r="3852" customFormat="1"/>
    <row r="3853" customFormat="1"/>
    <row r="3854" customFormat="1"/>
    <row r="3855" customFormat="1"/>
    <row r="3856" customFormat="1"/>
    <row r="3857" customFormat="1"/>
    <row r="3858" customFormat="1"/>
    <row r="3859" customFormat="1"/>
    <row r="3860" customFormat="1"/>
    <row r="3861" customFormat="1"/>
    <row r="3862" customFormat="1"/>
    <row r="3863" customFormat="1"/>
    <row r="3864" customFormat="1"/>
    <row r="3865" customFormat="1"/>
    <row r="3866" customFormat="1"/>
    <row r="3867" customFormat="1"/>
    <row r="3868" customFormat="1"/>
    <row r="3869" customFormat="1"/>
    <row r="3870" customFormat="1"/>
    <row r="3871" customFormat="1"/>
    <row r="3872" customFormat="1"/>
    <row r="3873" customFormat="1"/>
    <row r="3874" customFormat="1"/>
    <row r="3875" customFormat="1"/>
    <row r="3876" customFormat="1"/>
    <row r="3877" customFormat="1"/>
    <row r="3878" customFormat="1"/>
    <row r="3879" customFormat="1"/>
    <row r="3880" customFormat="1"/>
    <row r="3881" customFormat="1"/>
    <row r="3882" customFormat="1"/>
    <row r="3883" customFormat="1"/>
    <row r="3884" customFormat="1"/>
    <row r="3885" customFormat="1"/>
    <row r="3886" customFormat="1"/>
    <row r="3887" customFormat="1"/>
    <row r="3888" customFormat="1"/>
    <row r="3889" customFormat="1"/>
    <row r="3890" customFormat="1"/>
    <row r="3891" customFormat="1"/>
    <row r="3892" customFormat="1"/>
    <row r="3893" customFormat="1"/>
    <row r="3894" customFormat="1"/>
    <row r="3895" customFormat="1"/>
    <row r="3896" customFormat="1"/>
    <row r="3897" customFormat="1"/>
    <row r="3898" customFormat="1"/>
    <row r="3899" customFormat="1"/>
    <row r="3900" customFormat="1"/>
    <row r="3901" customFormat="1"/>
    <row r="3902" customFormat="1"/>
    <row r="3903" customFormat="1"/>
    <row r="3904" customFormat="1"/>
    <row r="3905" customFormat="1"/>
    <row r="3906" customFormat="1"/>
    <row r="3907" customFormat="1"/>
    <row r="3908" customFormat="1"/>
    <row r="3909" customFormat="1"/>
    <row r="3910" customFormat="1"/>
    <row r="3911" customFormat="1"/>
    <row r="3912" customFormat="1"/>
    <row r="3913" customFormat="1"/>
    <row r="3914" customFormat="1"/>
    <row r="3915" customFormat="1"/>
    <row r="3916" customFormat="1"/>
    <row r="3917" customFormat="1"/>
    <row r="3918" customFormat="1"/>
    <row r="3919" customFormat="1"/>
    <row r="3920" customFormat="1"/>
    <row r="3921" customFormat="1"/>
    <row r="3922" customFormat="1"/>
    <row r="3923" customFormat="1"/>
    <row r="3924" customFormat="1"/>
    <row r="3925" customFormat="1"/>
    <row r="3926" customFormat="1"/>
    <row r="3927" customFormat="1"/>
    <row r="3928" customFormat="1"/>
    <row r="3929" customFormat="1"/>
    <row r="3930" customFormat="1"/>
    <row r="3931" customFormat="1"/>
    <row r="3932" customFormat="1"/>
    <row r="3933" customFormat="1"/>
    <row r="3934" customFormat="1"/>
    <row r="3935" customFormat="1"/>
    <row r="3936" customFormat="1"/>
    <row r="3937" customFormat="1"/>
    <row r="3938" customFormat="1"/>
    <row r="3939" customFormat="1"/>
    <row r="3940" customFormat="1"/>
    <row r="3941" customFormat="1"/>
    <row r="3942" customFormat="1"/>
    <row r="3943" customFormat="1"/>
    <row r="3944" customFormat="1"/>
    <row r="3945" customFormat="1"/>
    <row r="3946" customFormat="1"/>
    <row r="3947" customFormat="1"/>
    <row r="3948" customFormat="1"/>
    <row r="3949" customFormat="1"/>
    <row r="3950" customFormat="1"/>
    <row r="3951" customFormat="1"/>
    <row r="3952" customFormat="1"/>
    <row r="3953" customFormat="1"/>
    <row r="3954" customFormat="1"/>
    <row r="3955" customFormat="1"/>
    <row r="3956" customFormat="1"/>
    <row r="3957" customFormat="1"/>
    <row r="3958" customFormat="1"/>
    <row r="3959" customFormat="1"/>
    <row r="3960" customFormat="1"/>
    <row r="3961" customFormat="1"/>
    <row r="3962" customFormat="1"/>
    <row r="3963" customFormat="1"/>
    <row r="3964" customFormat="1"/>
    <row r="3965" customFormat="1"/>
    <row r="3966" customFormat="1"/>
    <row r="3967" customFormat="1"/>
    <row r="3968" customFormat="1"/>
    <row r="3969" customFormat="1"/>
    <row r="3970" customFormat="1"/>
    <row r="3971" customFormat="1"/>
    <row r="3972" customFormat="1"/>
    <row r="3973" customFormat="1"/>
    <row r="3974" customFormat="1"/>
    <row r="3975" customFormat="1"/>
    <row r="3976" customFormat="1"/>
    <row r="3977" customFormat="1"/>
    <row r="3978" customFormat="1"/>
    <row r="3979" customFormat="1"/>
    <row r="3980" customFormat="1"/>
    <row r="3981" customFormat="1"/>
    <row r="3982" customFormat="1"/>
    <row r="3983" customFormat="1"/>
    <row r="3984" customFormat="1"/>
    <row r="3985" customFormat="1"/>
    <row r="3986" customFormat="1"/>
    <row r="3987" customFormat="1"/>
    <row r="3988" customFormat="1"/>
    <row r="3989" customFormat="1"/>
    <row r="3990" customFormat="1"/>
    <row r="3991" customFormat="1"/>
    <row r="3992" customFormat="1"/>
    <row r="3993" customFormat="1"/>
    <row r="3994" customFormat="1"/>
    <row r="3995" customFormat="1"/>
    <row r="3996" customFormat="1"/>
    <row r="3997" customFormat="1"/>
    <row r="3998" customFormat="1"/>
    <row r="3999" customFormat="1"/>
    <row r="4000" customFormat="1"/>
    <row r="4001" customFormat="1"/>
    <row r="4002" customFormat="1"/>
    <row r="4003" customFormat="1"/>
    <row r="4004" customFormat="1"/>
    <row r="4005" customFormat="1"/>
    <row r="4006" customFormat="1"/>
    <row r="4007" customFormat="1"/>
    <row r="4008" customFormat="1"/>
    <row r="4009" customFormat="1"/>
    <row r="4010" customFormat="1"/>
    <row r="4011" customFormat="1"/>
    <row r="4012" customFormat="1"/>
    <row r="4013" customFormat="1"/>
    <row r="4014" customFormat="1"/>
    <row r="4015" customFormat="1"/>
    <row r="4016" customFormat="1"/>
    <row r="4017" customFormat="1"/>
    <row r="4018" customFormat="1"/>
    <row r="4019" customFormat="1"/>
    <row r="4020" customFormat="1"/>
    <row r="4021" customFormat="1"/>
    <row r="4022" customFormat="1"/>
    <row r="4023" customFormat="1"/>
    <row r="4024" customFormat="1"/>
    <row r="4025" customFormat="1"/>
    <row r="4026" customFormat="1"/>
    <row r="4027" customFormat="1"/>
    <row r="4028" customFormat="1"/>
    <row r="4029" customFormat="1"/>
    <row r="4030" customFormat="1"/>
    <row r="4031" customFormat="1"/>
    <row r="4032" customFormat="1"/>
    <row r="4033" customFormat="1"/>
    <row r="4034" customFormat="1"/>
    <row r="4035" customFormat="1"/>
    <row r="4036" customFormat="1"/>
    <row r="4037" customFormat="1"/>
    <row r="4038" customFormat="1"/>
    <row r="4039" customFormat="1"/>
    <row r="4040" customFormat="1"/>
    <row r="4041" customFormat="1"/>
    <row r="4042" customFormat="1"/>
    <row r="4043" customFormat="1"/>
    <row r="4044" customFormat="1"/>
    <row r="4045" customFormat="1"/>
    <row r="4046" customFormat="1"/>
    <row r="4047" customFormat="1"/>
    <row r="4048" customFormat="1"/>
    <row r="4049" customFormat="1"/>
    <row r="4050" customFormat="1"/>
    <row r="4051" customFormat="1"/>
    <row r="4052" customFormat="1"/>
    <row r="4053" customFormat="1"/>
    <row r="4054" customFormat="1"/>
    <row r="4055" customFormat="1"/>
    <row r="4056" customFormat="1"/>
    <row r="4057" customFormat="1"/>
    <row r="4058" customFormat="1"/>
    <row r="4059" customFormat="1"/>
    <row r="4060" customFormat="1"/>
    <row r="4061" customFormat="1"/>
    <row r="4062" customFormat="1"/>
    <row r="4063" customFormat="1"/>
    <row r="4064" customFormat="1"/>
    <row r="4065" customFormat="1"/>
    <row r="4066" customFormat="1"/>
    <row r="4067" customFormat="1"/>
    <row r="4068" customFormat="1"/>
    <row r="4069" customFormat="1"/>
    <row r="4070" customFormat="1"/>
    <row r="4071" customFormat="1"/>
    <row r="4072" customFormat="1"/>
    <row r="4073" customFormat="1"/>
    <row r="4074" customFormat="1"/>
    <row r="4075" customFormat="1"/>
    <row r="4076" customFormat="1"/>
    <row r="4077" customFormat="1"/>
    <row r="4078" customFormat="1"/>
    <row r="4079" customFormat="1"/>
    <row r="4080" customFormat="1"/>
    <row r="4081" customFormat="1"/>
    <row r="4082" customFormat="1"/>
    <row r="4083" customFormat="1"/>
    <row r="4084" customFormat="1"/>
    <row r="4085" customFormat="1"/>
    <row r="4086" customFormat="1"/>
    <row r="4087" customFormat="1"/>
    <row r="4088" customFormat="1"/>
    <row r="4089" customFormat="1"/>
    <row r="4090" customFormat="1"/>
    <row r="4091" customFormat="1"/>
    <row r="4092" customFormat="1"/>
    <row r="4093" customFormat="1"/>
    <row r="4094" customFormat="1"/>
    <row r="4095" customFormat="1"/>
    <row r="4096" customFormat="1"/>
    <row r="4097" customFormat="1"/>
    <row r="4098" customFormat="1"/>
    <row r="4099" customFormat="1"/>
    <row r="4100" customFormat="1"/>
    <row r="4101" customFormat="1"/>
    <row r="4102" customFormat="1"/>
    <row r="4103" customFormat="1"/>
    <row r="4104" customFormat="1"/>
    <row r="4105" customFormat="1"/>
    <row r="4106" customFormat="1"/>
    <row r="4107" customFormat="1"/>
    <row r="4108" customFormat="1"/>
    <row r="4109" customFormat="1"/>
    <row r="4110" customFormat="1"/>
    <row r="4111" customFormat="1"/>
    <row r="4112" customFormat="1"/>
    <row r="4113" customFormat="1"/>
    <row r="4114" customFormat="1"/>
    <row r="4115" customFormat="1"/>
    <row r="4116" customFormat="1"/>
    <row r="4117" customFormat="1"/>
    <row r="4118" customFormat="1"/>
    <row r="4119" customFormat="1"/>
    <row r="4120" customFormat="1"/>
    <row r="4121" customFormat="1"/>
    <row r="4122" customFormat="1"/>
    <row r="4123" customFormat="1"/>
    <row r="4124" customFormat="1"/>
    <row r="4125" customFormat="1"/>
    <row r="4126" customFormat="1"/>
    <row r="4127" customFormat="1"/>
    <row r="4128" customFormat="1"/>
    <row r="4129" customFormat="1"/>
    <row r="4130" customFormat="1"/>
    <row r="4131" customFormat="1"/>
    <row r="4132" customFormat="1"/>
    <row r="4133" customFormat="1"/>
    <row r="4134" customFormat="1"/>
    <row r="4135" customFormat="1"/>
    <row r="4136" customFormat="1"/>
    <row r="4137" customFormat="1"/>
    <row r="4138" customFormat="1"/>
    <row r="4139" customFormat="1"/>
    <row r="4140" customFormat="1"/>
    <row r="4141" customFormat="1"/>
    <row r="4142" customFormat="1"/>
    <row r="4143" customFormat="1"/>
    <row r="4144" customFormat="1"/>
    <row r="4145" customFormat="1"/>
    <row r="4146" customFormat="1"/>
    <row r="4147" customFormat="1"/>
    <row r="4148" customFormat="1"/>
    <row r="4149" customFormat="1"/>
    <row r="4150" customFormat="1"/>
    <row r="4151" customFormat="1"/>
    <row r="4152" customFormat="1"/>
    <row r="4153" customFormat="1"/>
    <row r="4154" customFormat="1"/>
    <row r="4155" customFormat="1"/>
    <row r="4156" customFormat="1"/>
    <row r="4157" customFormat="1"/>
    <row r="4158" customFormat="1"/>
    <row r="4159" customFormat="1"/>
    <row r="4160" customFormat="1"/>
    <row r="4161" customFormat="1"/>
    <row r="4162" customFormat="1"/>
    <row r="4163" customFormat="1"/>
    <row r="4164" customFormat="1"/>
    <row r="4165" customFormat="1"/>
    <row r="4166" customFormat="1"/>
    <row r="4167" customFormat="1"/>
    <row r="4168" customFormat="1"/>
    <row r="4169" customFormat="1"/>
    <row r="4170" customFormat="1"/>
    <row r="4171" customFormat="1"/>
    <row r="4172" customFormat="1"/>
    <row r="4173" customFormat="1"/>
    <row r="4174" customFormat="1"/>
    <row r="4175" customFormat="1"/>
    <row r="4176" customFormat="1"/>
    <row r="4177" customFormat="1"/>
    <row r="4178" customFormat="1"/>
    <row r="4179" customFormat="1"/>
    <row r="4180" customFormat="1"/>
    <row r="4181" customFormat="1"/>
    <row r="4182" customFormat="1"/>
    <row r="4183" customFormat="1"/>
    <row r="4184" customFormat="1"/>
    <row r="4185" customFormat="1"/>
    <row r="4186" customFormat="1"/>
    <row r="4187" customFormat="1"/>
    <row r="4188" customFormat="1"/>
    <row r="4189" customFormat="1"/>
    <row r="4190" customFormat="1"/>
    <row r="4191" customFormat="1"/>
    <row r="4192" customFormat="1"/>
    <row r="4193" customFormat="1"/>
    <row r="4194" customFormat="1"/>
    <row r="4195" customFormat="1"/>
    <row r="4196" customFormat="1"/>
    <row r="4197" customFormat="1"/>
    <row r="4198" customFormat="1"/>
    <row r="4199" customFormat="1"/>
    <row r="4200" customFormat="1"/>
    <row r="4201" customFormat="1"/>
    <row r="4202" customFormat="1"/>
    <row r="4203" customFormat="1"/>
    <row r="4204" customFormat="1"/>
    <row r="4205" customFormat="1"/>
    <row r="4206" customFormat="1"/>
    <row r="4207" customFormat="1"/>
    <row r="4208" customFormat="1"/>
    <row r="4209" customFormat="1"/>
    <row r="4210" customFormat="1"/>
    <row r="4211" customFormat="1"/>
    <row r="4212" customFormat="1"/>
    <row r="4213" customFormat="1"/>
    <row r="4214" customFormat="1"/>
    <row r="4215" customFormat="1"/>
    <row r="4216" customFormat="1"/>
    <row r="4217" customFormat="1"/>
    <row r="4218" customFormat="1"/>
    <row r="4219" customFormat="1"/>
    <row r="4220" customFormat="1"/>
    <row r="4221" customFormat="1"/>
    <row r="4222" customFormat="1"/>
    <row r="4223" customFormat="1"/>
    <row r="4224" customFormat="1"/>
    <row r="4225" customFormat="1"/>
    <row r="4226" customFormat="1"/>
    <row r="4227" customFormat="1"/>
    <row r="4228" customFormat="1"/>
    <row r="4229" customFormat="1"/>
    <row r="4230" customFormat="1"/>
    <row r="4231" customFormat="1"/>
    <row r="4232" customFormat="1"/>
    <row r="4233" customFormat="1"/>
    <row r="4234" customFormat="1"/>
    <row r="4235" customFormat="1"/>
    <row r="4236" customFormat="1"/>
    <row r="4237" customFormat="1"/>
    <row r="4238" customFormat="1"/>
    <row r="4239" customFormat="1"/>
    <row r="4240" customFormat="1"/>
    <row r="4241" customFormat="1"/>
    <row r="4242" customFormat="1"/>
    <row r="4243" customFormat="1"/>
    <row r="4244" customFormat="1"/>
    <row r="4245" customFormat="1"/>
    <row r="4246" customFormat="1"/>
    <row r="4247" customFormat="1"/>
    <row r="4248" customFormat="1"/>
    <row r="4249" customFormat="1"/>
    <row r="4250" customFormat="1"/>
    <row r="4251" customFormat="1"/>
    <row r="4252" customFormat="1"/>
    <row r="4253" customFormat="1"/>
    <row r="4254" customFormat="1"/>
    <row r="4255" customFormat="1"/>
    <row r="4256" customFormat="1"/>
    <row r="4257" customFormat="1"/>
    <row r="4258" customFormat="1"/>
    <row r="4259" customFormat="1"/>
    <row r="4260" customFormat="1"/>
    <row r="4261" customFormat="1"/>
    <row r="4262" customFormat="1"/>
    <row r="4263" customFormat="1"/>
    <row r="4264" customFormat="1"/>
    <row r="4265" customFormat="1"/>
    <row r="4266" customFormat="1"/>
    <row r="4267" customFormat="1"/>
    <row r="4268" customFormat="1"/>
    <row r="4269" customFormat="1"/>
    <row r="4270" customFormat="1"/>
    <row r="4271" customFormat="1"/>
    <row r="4272" customFormat="1"/>
    <row r="4273" customFormat="1"/>
    <row r="4274" customFormat="1"/>
    <row r="4275" customFormat="1"/>
    <row r="4276" customFormat="1"/>
    <row r="4277" customFormat="1"/>
    <row r="4278" customFormat="1"/>
    <row r="4279" customFormat="1"/>
    <row r="4280" customFormat="1"/>
    <row r="4281" customFormat="1"/>
    <row r="4282" customFormat="1"/>
    <row r="4283" customFormat="1"/>
    <row r="4284" customFormat="1"/>
    <row r="4285" customFormat="1"/>
    <row r="4286" customFormat="1"/>
    <row r="4287" customFormat="1"/>
    <row r="4288" customFormat="1"/>
    <row r="4289" customFormat="1"/>
    <row r="4290" customFormat="1"/>
    <row r="4291" customFormat="1"/>
    <row r="4292" customFormat="1"/>
    <row r="4293" customFormat="1"/>
    <row r="4294" customFormat="1"/>
    <row r="4295" customFormat="1"/>
    <row r="4296" customFormat="1"/>
    <row r="4297" customFormat="1"/>
    <row r="4298" customFormat="1"/>
    <row r="4299" customFormat="1"/>
    <row r="4300" customFormat="1"/>
    <row r="4301" customFormat="1"/>
    <row r="4302" customFormat="1"/>
    <row r="4303" customFormat="1"/>
    <row r="4304" customFormat="1"/>
    <row r="4305" customFormat="1"/>
    <row r="4306" customFormat="1"/>
    <row r="4307" customFormat="1"/>
    <row r="4308" customFormat="1"/>
    <row r="4309" customFormat="1"/>
    <row r="4310" customFormat="1"/>
    <row r="4311" customFormat="1"/>
    <row r="4312" customFormat="1"/>
    <row r="4313" customFormat="1"/>
    <row r="4314" customFormat="1"/>
    <row r="4315" customFormat="1"/>
    <row r="4316" customFormat="1"/>
    <row r="4317" customFormat="1"/>
    <row r="4318" customFormat="1"/>
    <row r="4319" customFormat="1"/>
    <row r="4320" customFormat="1"/>
    <row r="4321" customFormat="1"/>
    <row r="4322" customFormat="1"/>
    <row r="4323" customFormat="1"/>
    <row r="4324" customFormat="1"/>
    <row r="4325" customFormat="1"/>
    <row r="4326" customFormat="1"/>
    <row r="4327" customFormat="1"/>
    <row r="4328" customFormat="1"/>
    <row r="4329" customFormat="1"/>
    <row r="4330" customFormat="1"/>
    <row r="4331" customFormat="1"/>
    <row r="4332" customFormat="1"/>
    <row r="4333" customFormat="1"/>
    <row r="4334" customFormat="1"/>
    <row r="4335" customFormat="1"/>
    <row r="4336" customFormat="1"/>
    <row r="4337" customFormat="1"/>
    <row r="4338" customFormat="1"/>
    <row r="4339" customFormat="1"/>
    <row r="4340" customFormat="1"/>
    <row r="4341" customFormat="1"/>
    <row r="4342" customFormat="1"/>
    <row r="4343" customFormat="1"/>
    <row r="4344" customFormat="1"/>
    <row r="4345" customFormat="1"/>
    <row r="4346" customFormat="1"/>
    <row r="4347" customFormat="1"/>
    <row r="4348" customFormat="1"/>
    <row r="4349" customFormat="1"/>
    <row r="4350" customFormat="1"/>
    <row r="4351" customFormat="1"/>
    <row r="4352" customFormat="1"/>
    <row r="4353" customFormat="1"/>
    <row r="4354" customFormat="1"/>
    <row r="4355" customFormat="1"/>
    <row r="4356" customFormat="1"/>
    <row r="4357" customFormat="1"/>
    <row r="4358" customFormat="1"/>
    <row r="4359" customFormat="1"/>
    <row r="4360" customFormat="1"/>
    <row r="4361" customFormat="1"/>
    <row r="4362" customFormat="1"/>
    <row r="4363" customFormat="1"/>
    <row r="4364" customFormat="1"/>
    <row r="4365" customFormat="1"/>
    <row r="4366" customFormat="1"/>
    <row r="4367" customFormat="1"/>
    <row r="4368" customFormat="1"/>
    <row r="4369" customFormat="1"/>
    <row r="4370" customFormat="1"/>
    <row r="4371" customFormat="1"/>
    <row r="4372" customFormat="1"/>
    <row r="4373" customFormat="1"/>
    <row r="4374" customFormat="1"/>
    <row r="4375" customFormat="1"/>
    <row r="4376" customFormat="1"/>
    <row r="4377" customFormat="1"/>
    <row r="4378" customFormat="1"/>
    <row r="4379" customFormat="1"/>
    <row r="4380" customFormat="1"/>
    <row r="4381" customFormat="1"/>
    <row r="4382" customFormat="1"/>
    <row r="4383" customFormat="1"/>
    <row r="4384" customFormat="1"/>
    <row r="4385" customFormat="1"/>
    <row r="4386" customFormat="1"/>
    <row r="4387" customFormat="1"/>
    <row r="4388" customFormat="1"/>
    <row r="4389" customFormat="1"/>
    <row r="4390" customFormat="1"/>
    <row r="4391" customFormat="1"/>
    <row r="4392" customFormat="1"/>
    <row r="4393" customFormat="1"/>
    <row r="4394" customFormat="1"/>
    <row r="4395" customFormat="1"/>
    <row r="4396" customFormat="1"/>
    <row r="4397" customFormat="1"/>
    <row r="4398" customFormat="1"/>
    <row r="4399" customFormat="1"/>
    <row r="4400" customFormat="1"/>
    <row r="4401" customFormat="1"/>
    <row r="4402" customFormat="1"/>
    <row r="4403" customFormat="1"/>
    <row r="4404" customFormat="1"/>
    <row r="4405" customFormat="1"/>
    <row r="4406" customFormat="1"/>
    <row r="4407" customFormat="1"/>
    <row r="4408" customFormat="1"/>
    <row r="4409" customFormat="1"/>
    <row r="4410" customFormat="1"/>
    <row r="4411" customFormat="1"/>
    <row r="4412" customFormat="1"/>
    <row r="4413" customFormat="1"/>
    <row r="4414" customFormat="1"/>
    <row r="4415" customFormat="1"/>
    <row r="4416" customFormat="1"/>
    <row r="4417" customFormat="1"/>
    <row r="4418" customFormat="1"/>
    <row r="4419" customFormat="1"/>
    <row r="4420" customFormat="1"/>
    <row r="4421" customFormat="1"/>
    <row r="4422" customFormat="1"/>
    <row r="4423" customFormat="1"/>
    <row r="4424" customFormat="1"/>
    <row r="4425" customFormat="1"/>
    <row r="4426" customFormat="1"/>
    <row r="4427" customFormat="1"/>
    <row r="4428" customFormat="1"/>
    <row r="4429" customFormat="1"/>
    <row r="4430" customFormat="1"/>
    <row r="4431" customFormat="1"/>
    <row r="4432" customFormat="1"/>
    <row r="4433" customFormat="1"/>
    <row r="4434" customFormat="1"/>
    <row r="4435" customFormat="1"/>
    <row r="4436" customFormat="1"/>
    <row r="4437" customFormat="1"/>
    <row r="4438" customFormat="1"/>
    <row r="4439" customFormat="1"/>
    <row r="4440" customFormat="1"/>
    <row r="4441" customFormat="1"/>
    <row r="4442" customFormat="1"/>
    <row r="4443" customFormat="1"/>
    <row r="4444" customFormat="1"/>
    <row r="4445" customFormat="1"/>
    <row r="4446" customFormat="1"/>
    <row r="4447" customFormat="1"/>
    <row r="4448" customFormat="1"/>
    <row r="4449" customFormat="1"/>
    <row r="4450" customFormat="1"/>
    <row r="4451" customFormat="1"/>
    <row r="4452" customFormat="1"/>
    <row r="4453" customFormat="1"/>
    <row r="4454" customFormat="1"/>
    <row r="4455" customFormat="1"/>
    <row r="4456" customFormat="1"/>
    <row r="4457" customFormat="1"/>
    <row r="4458" customFormat="1"/>
    <row r="4459" customFormat="1"/>
    <row r="4460" customFormat="1"/>
    <row r="4461" customFormat="1"/>
    <row r="4462" customFormat="1"/>
    <row r="4463" customFormat="1"/>
    <row r="4464" customFormat="1"/>
    <row r="4465" customFormat="1"/>
    <row r="4466" customFormat="1"/>
    <row r="4467" customFormat="1"/>
    <row r="4468" customFormat="1"/>
    <row r="4469" customFormat="1"/>
    <row r="4470" customFormat="1"/>
    <row r="4471" customFormat="1"/>
    <row r="4472" customFormat="1"/>
    <row r="4473" customFormat="1"/>
    <row r="4474" customFormat="1"/>
    <row r="4475" customFormat="1"/>
    <row r="4476" customFormat="1"/>
    <row r="4477" customFormat="1"/>
    <row r="4478" customFormat="1"/>
    <row r="4479" customFormat="1"/>
    <row r="4480" customFormat="1"/>
    <row r="4481" customFormat="1"/>
    <row r="4482" customFormat="1"/>
    <row r="4483" customFormat="1"/>
    <row r="4484" customFormat="1"/>
    <row r="4485" customFormat="1"/>
    <row r="4486" customFormat="1"/>
    <row r="4487" customFormat="1"/>
    <row r="4488" customFormat="1"/>
    <row r="4489" customFormat="1"/>
    <row r="4490" customFormat="1"/>
    <row r="4491" customFormat="1"/>
    <row r="4492" customFormat="1"/>
    <row r="4493" customFormat="1"/>
    <row r="4494" customFormat="1"/>
    <row r="4495" customFormat="1"/>
    <row r="4496" customFormat="1"/>
    <row r="4497" customFormat="1"/>
    <row r="4498" customFormat="1"/>
    <row r="4499" customFormat="1"/>
    <row r="4500" customFormat="1"/>
    <row r="4501" customFormat="1"/>
    <row r="4502" customFormat="1"/>
    <row r="4503" customFormat="1"/>
    <row r="4504" customFormat="1"/>
    <row r="4505" customFormat="1"/>
    <row r="4506" customFormat="1"/>
    <row r="4507" customFormat="1"/>
    <row r="4508" customFormat="1"/>
    <row r="4509" customFormat="1"/>
    <row r="4510" customFormat="1"/>
    <row r="4511" customFormat="1"/>
    <row r="4512" customFormat="1"/>
    <row r="4513" customFormat="1"/>
    <row r="4514" customFormat="1"/>
    <row r="4515" customFormat="1"/>
    <row r="4516" customFormat="1"/>
    <row r="4517" customFormat="1"/>
    <row r="4518" customFormat="1"/>
    <row r="4519" customFormat="1"/>
    <row r="4520" customFormat="1"/>
    <row r="4521" customFormat="1"/>
    <row r="4522" customFormat="1"/>
    <row r="4523" customFormat="1"/>
    <row r="4524" customFormat="1"/>
    <row r="4525" customFormat="1"/>
    <row r="4526" customFormat="1"/>
    <row r="4527" customFormat="1"/>
    <row r="4528" customFormat="1"/>
    <row r="4529" customFormat="1"/>
    <row r="4530" customFormat="1"/>
    <row r="4531" customFormat="1"/>
    <row r="4532" customFormat="1"/>
    <row r="4533" customFormat="1"/>
    <row r="4534" customFormat="1"/>
    <row r="4535" customFormat="1"/>
    <row r="4536" customFormat="1"/>
    <row r="4537" customFormat="1"/>
    <row r="4538" customFormat="1"/>
    <row r="4539" customFormat="1"/>
    <row r="4540" customFormat="1"/>
    <row r="4541" customFormat="1"/>
    <row r="4542" customFormat="1"/>
    <row r="4543" customFormat="1"/>
    <row r="4544" customFormat="1"/>
    <row r="4545" customFormat="1"/>
    <row r="4546" customFormat="1"/>
    <row r="4547" customFormat="1"/>
    <row r="4548" customFormat="1"/>
    <row r="4549" customFormat="1"/>
    <row r="4550" customFormat="1"/>
    <row r="4551" customFormat="1"/>
    <row r="4552" customFormat="1"/>
    <row r="4553" customFormat="1"/>
    <row r="4554" customFormat="1"/>
    <row r="4555" customFormat="1"/>
    <row r="4556" customFormat="1"/>
    <row r="4557" customFormat="1"/>
    <row r="4558" customFormat="1"/>
    <row r="4559" customFormat="1"/>
    <row r="4560" customFormat="1"/>
    <row r="4561" customFormat="1"/>
    <row r="4562" customFormat="1"/>
    <row r="4563" customFormat="1"/>
    <row r="4564" customFormat="1"/>
    <row r="4565" customFormat="1"/>
    <row r="4566" customFormat="1"/>
    <row r="4567" customFormat="1"/>
    <row r="4568" customFormat="1"/>
    <row r="4569" customFormat="1"/>
    <row r="4570" customFormat="1"/>
    <row r="4571" customFormat="1"/>
    <row r="4572" customFormat="1"/>
    <row r="4573" customFormat="1"/>
    <row r="4574" customFormat="1"/>
    <row r="4575" customFormat="1"/>
    <row r="4576" customFormat="1"/>
    <row r="4577" customFormat="1"/>
    <row r="4578" customFormat="1"/>
    <row r="4579" customFormat="1"/>
    <row r="4580" customFormat="1"/>
    <row r="4581" customFormat="1"/>
    <row r="4582" customFormat="1"/>
    <row r="4583" customFormat="1"/>
    <row r="4584" customFormat="1"/>
    <row r="4585" customFormat="1"/>
    <row r="4586" customFormat="1"/>
    <row r="4587" customFormat="1"/>
    <row r="4588" customFormat="1"/>
    <row r="4589" customFormat="1"/>
    <row r="4590" customFormat="1"/>
    <row r="4591" customFormat="1"/>
    <row r="4592" customFormat="1"/>
    <row r="4593" customFormat="1"/>
    <row r="4594" customFormat="1"/>
    <row r="4595" customFormat="1"/>
    <row r="4596" customFormat="1"/>
    <row r="4597" customFormat="1"/>
    <row r="4598" customFormat="1"/>
    <row r="4599" customFormat="1"/>
    <row r="4600" customFormat="1"/>
    <row r="4601" customFormat="1"/>
    <row r="4602" customFormat="1"/>
    <row r="4603" customFormat="1"/>
    <row r="4604" customFormat="1"/>
    <row r="4605" customFormat="1"/>
    <row r="4606" customFormat="1"/>
    <row r="4607" customFormat="1"/>
    <row r="4608" customFormat="1"/>
    <row r="4609" customFormat="1"/>
    <row r="4610" customFormat="1"/>
    <row r="4611" customFormat="1"/>
    <row r="4612" customFormat="1"/>
    <row r="4613" customFormat="1"/>
    <row r="4614" customFormat="1"/>
    <row r="4615" customFormat="1"/>
    <row r="4616" customFormat="1"/>
    <row r="4617" customFormat="1"/>
    <row r="4618" customFormat="1"/>
    <row r="4619" customFormat="1"/>
    <row r="4620" customFormat="1"/>
    <row r="4621" customFormat="1"/>
    <row r="4622" customFormat="1"/>
    <row r="4623" customFormat="1"/>
    <row r="4624" customFormat="1"/>
    <row r="4625" customFormat="1"/>
    <row r="4626" customFormat="1"/>
    <row r="4627" customFormat="1"/>
    <row r="4628" customFormat="1"/>
    <row r="4629" customFormat="1"/>
    <row r="4630" customFormat="1"/>
    <row r="4631" customFormat="1"/>
    <row r="4632" customFormat="1"/>
    <row r="4633" customFormat="1"/>
    <row r="4634" customFormat="1"/>
    <row r="4635" customFormat="1"/>
    <row r="4636" customFormat="1"/>
    <row r="4637" customFormat="1"/>
    <row r="4638" customFormat="1"/>
    <row r="4639" customFormat="1"/>
    <row r="4640" customFormat="1"/>
    <row r="4641" customFormat="1"/>
    <row r="4642" customFormat="1"/>
    <row r="4643" customFormat="1"/>
    <row r="4644" customFormat="1"/>
    <row r="4645" customFormat="1"/>
    <row r="4646" customFormat="1"/>
    <row r="4647" customFormat="1"/>
    <row r="4648" customFormat="1"/>
    <row r="4649" customFormat="1"/>
    <row r="4650" customFormat="1"/>
    <row r="4651" customFormat="1"/>
    <row r="4652" customFormat="1"/>
    <row r="4653" customFormat="1"/>
    <row r="4654" customFormat="1"/>
    <row r="4655" customFormat="1"/>
    <row r="4656" customFormat="1"/>
    <row r="4657" customFormat="1"/>
    <row r="4658" customFormat="1"/>
    <row r="4659" customFormat="1"/>
    <row r="4660" customFormat="1"/>
    <row r="4661" customFormat="1"/>
    <row r="4662" customFormat="1"/>
    <row r="4663" customFormat="1"/>
    <row r="4664" customFormat="1"/>
    <row r="4665" customFormat="1"/>
    <row r="4666" customFormat="1"/>
    <row r="4667" customFormat="1"/>
    <row r="4668" customFormat="1"/>
    <row r="4669" customFormat="1"/>
    <row r="4670" customFormat="1"/>
    <row r="4671" customFormat="1"/>
    <row r="4672" customFormat="1"/>
    <row r="4673" customFormat="1"/>
    <row r="4674" customFormat="1"/>
    <row r="4675" customFormat="1"/>
    <row r="4676" customFormat="1"/>
    <row r="4677" customFormat="1"/>
    <row r="4678" customFormat="1"/>
    <row r="4679" customFormat="1"/>
    <row r="4680" customFormat="1"/>
    <row r="4681" customFormat="1"/>
    <row r="4682" customFormat="1"/>
    <row r="4683" customFormat="1"/>
    <row r="4684" customFormat="1"/>
    <row r="4685" customFormat="1"/>
    <row r="4686" customFormat="1"/>
    <row r="4687" customFormat="1"/>
    <row r="4688" customFormat="1"/>
    <row r="4689" customFormat="1"/>
    <row r="4690" customFormat="1"/>
    <row r="4691" customFormat="1"/>
    <row r="4692" customFormat="1"/>
    <row r="4693" customFormat="1"/>
    <row r="4694" customFormat="1"/>
    <row r="4695" customFormat="1"/>
    <row r="4696" customFormat="1"/>
    <row r="4697" customFormat="1"/>
    <row r="4698" customFormat="1"/>
    <row r="4699" customFormat="1"/>
    <row r="4700" customFormat="1"/>
    <row r="4701" customFormat="1"/>
    <row r="4702" customFormat="1"/>
    <row r="4703" customFormat="1"/>
    <row r="4704" customFormat="1"/>
    <row r="4705" customFormat="1"/>
    <row r="4706" customFormat="1"/>
    <row r="4707" customFormat="1"/>
    <row r="4708" customFormat="1"/>
    <row r="4709" customFormat="1"/>
    <row r="4710" customFormat="1"/>
    <row r="4711" customFormat="1"/>
    <row r="4712" customFormat="1"/>
    <row r="4713" customFormat="1"/>
    <row r="4714" customFormat="1"/>
    <row r="4715" customFormat="1"/>
    <row r="4716" customFormat="1"/>
    <row r="4717" customFormat="1"/>
    <row r="4718" customFormat="1"/>
    <row r="4719" customFormat="1"/>
    <row r="4720" customFormat="1"/>
    <row r="4721" customFormat="1"/>
    <row r="4722" customFormat="1"/>
    <row r="4723" customFormat="1"/>
    <row r="4724" customFormat="1"/>
    <row r="4725" customFormat="1"/>
    <row r="4726" customFormat="1"/>
    <row r="4727" customFormat="1"/>
    <row r="4728" customFormat="1"/>
    <row r="4729" customFormat="1"/>
    <row r="4730" customFormat="1"/>
    <row r="4731" customFormat="1"/>
    <row r="4732" customFormat="1"/>
    <row r="4733" customFormat="1"/>
    <row r="4734" customFormat="1"/>
    <row r="4735" customFormat="1"/>
    <row r="4736" customFormat="1"/>
    <row r="4737" customFormat="1"/>
    <row r="4738" customFormat="1"/>
    <row r="4739" customFormat="1"/>
    <row r="4740" customFormat="1"/>
    <row r="4741" customFormat="1"/>
    <row r="4742" customFormat="1"/>
    <row r="4743" customFormat="1"/>
    <row r="4744" customFormat="1"/>
    <row r="4745" customFormat="1"/>
    <row r="4746" customFormat="1"/>
    <row r="4747" customFormat="1"/>
    <row r="4748" customFormat="1"/>
    <row r="4749" customFormat="1"/>
    <row r="4750" customFormat="1"/>
    <row r="4751" customFormat="1"/>
    <row r="4752" customFormat="1"/>
    <row r="4753" customFormat="1"/>
    <row r="4754" customFormat="1"/>
    <row r="4755" customFormat="1"/>
    <row r="4756" customFormat="1"/>
    <row r="4757" customFormat="1"/>
    <row r="4758" customFormat="1"/>
    <row r="4759" customFormat="1"/>
    <row r="4760" customFormat="1"/>
    <row r="4761" customFormat="1"/>
    <row r="4762" customFormat="1"/>
    <row r="4763" customFormat="1"/>
    <row r="4764" customFormat="1"/>
    <row r="4765" customFormat="1"/>
    <row r="4766" customFormat="1"/>
    <row r="4767" customFormat="1"/>
    <row r="4768" customFormat="1"/>
    <row r="4769" customFormat="1"/>
    <row r="4770" customFormat="1"/>
    <row r="4771" customFormat="1"/>
    <row r="4772" customFormat="1"/>
    <row r="4773" customFormat="1"/>
    <row r="4774" customFormat="1"/>
    <row r="4775" customFormat="1"/>
    <row r="4776" customFormat="1"/>
    <row r="4777" customFormat="1"/>
    <row r="4778" customFormat="1"/>
    <row r="4779" customFormat="1"/>
    <row r="4780" customFormat="1"/>
    <row r="4781" customFormat="1"/>
    <row r="4782" customFormat="1"/>
    <row r="4783" customFormat="1"/>
    <row r="4784" customFormat="1"/>
    <row r="4785" customFormat="1"/>
    <row r="4786" customFormat="1"/>
    <row r="4787" customFormat="1"/>
    <row r="4788" customFormat="1"/>
    <row r="4789" customFormat="1"/>
    <row r="4790" customFormat="1"/>
    <row r="4791" customFormat="1"/>
    <row r="4792" customFormat="1"/>
    <row r="4793" customFormat="1"/>
    <row r="4794" customFormat="1"/>
    <row r="4795" customFormat="1"/>
    <row r="4796" customFormat="1"/>
    <row r="4797" customFormat="1"/>
    <row r="4798" customFormat="1"/>
    <row r="4799" customFormat="1"/>
    <row r="4800" customFormat="1"/>
    <row r="4801" customFormat="1"/>
    <row r="4802" customFormat="1"/>
    <row r="4803" customFormat="1"/>
    <row r="4804" customFormat="1"/>
    <row r="4805" customFormat="1"/>
    <row r="4806" customFormat="1"/>
    <row r="4807" customFormat="1"/>
    <row r="4808" customFormat="1"/>
    <row r="4809" customFormat="1"/>
    <row r="4810" customFormat="1"/>
    <row r="4811" customFormat="1"/>
    <row r="4812" customFormat="1"/>
    <row r="4813" customFormat="1"/>
    <row r="4814" customFormat="1"/>
    <row r="4815" customFormat="1"/>
    <row r="4816" customFormat="1"/>
    <row r="4817" customFormat="1"/>
    <row r="4818" customFormat="1"/>
    <row r="4819" customFormat="1"/>
    <row r="4820" customFormat="1"/>
    <row r="4821" customFormat="1"/>
    <row r="4822" customFormat="1"/>
    <row r="4823" customFormat="1"/>
    <row r="4824" customFormat="1"/>
    <row r="4825" customFormat="1"/>
    <row r="4826" customFormat="1"/>
    <row r="4827" customFormat="1"/>
    <row r="4828" customFormat="1"/>
    <row r="4829" customFormat="1"/>
    <row r="4830" customFormat="1"/>
    <row r="4831" customFormat="1"/>
    <row r="4832" customFormat="1"/>
    <row r="4833" customFormat="1"/>
    <row r="4834" customFormat="1"/>
    <row r="4835" customFormat="1"/>
    <row r="4836" customFormat="1"/>
    <row r="4837" customFormat="1"/>
    <row r="4838" customFormat="1"/>
    <row r="4839" customFormat="1"/>
    <row r="4840" customFormat="1"/>
    <row r="4841" customFormat="1"/>
    <row r="4842" customFormat="1"/>
    <row r="4843" customFormat="1"/>
    <row r="4844" customFormat="1"/>
    <row r="4845" customFormat="1"/>
    <row r="4846" customFormat="1"/>
    <row r="4847" customFormat="1"/>
    <row r="4848" customFormat="1"/>
    <row r="4849" customFormat="1"/>
    <row r="4850" customFormat="1"/>
    <row r="4851" customFormat="1"/>
    <row r="4852" customFormat="1"/>
    <row r="4853" customFormat="1"/>
    <row r="4854" customFormat="1"/>
    <row r="4855" customFormat="1"/>
    <row r="4856" customFormat="1"/>
    <row r="4857" customFormat="1"/>
    <row r="4858" customFormat="1"/>
    <row r="4859" customFormat="1"/>
    <row r="4860" customFormat="1"/>
    <row r="4861" customFormat="1"/>
    <row r="4862" customFormat="1"/>
    <row r="4863" customFormat="1"/>
    <row r="4864" customFormat="1"/>
    <row r="4865" customFormat="1"/>
    <row r="4866" customFormat="1"/>
    <row r="4867" customFormat="1"/>
    <row r="4868" customFormat="1"/>
    <row r="4869" customFormat="1"/>
    <row r="4870" customFormat="1"/>
    <row r="4871" customFormat="1"/>
    <row r="4872" customFormat="1"/>
    <row r="4873" customFormat="1"/>
    <row r="4874" customFormat="1"/>
    <row r="4875" customFormat="1"/>
    <row r="4876" customFormat="1"/>
    <row r="4877" customFormat="1"/>
    <row r="4878" customFormat="1"/>
    <row r="4879" customFormat="1"/>
    <row r="4880" customFormat="1"/>
    <row r="4881" customFormat="1"/>
    <row r="4882" customFormat="1"/>
    <row r="4883" customFormat="1"/>
    <row r="4884" customFormat="1"/>
    <row r="4885" customFormat="1"/>
    <row r="4886" customFormat="1"/>
    <row r="4887" customFormat="1"/>
    <row r="4888" customFormat="1"/>
    <row r="4889" customFormat="1"/>
    <row r="4890" customFormat="1"/>
    <row r="4891" customFormat="1"/>
    <row r="4892" customFormat="1"/>
    <row r="4893" customFormat="1"/>
    <row r="4894" customFormat="1"/>
    <row r="4895" customFormat="1"/>
    <row r="4896" customFormat="1"/>
    <row r="4897" customFormat="1"/>
    <row r="4898" customFormat="1"/>
    <row r="4899" customFormat="1"/>
    <row r="4900" customFormat="1"/>
    <row r="4901" customFormat="1"/>
    <row r="4902" customFormat="1"/>
    <row r="4903" customFormat="1"/>
    <row r="4904" customFormat="1"/>
    <row r="4905" customFormat="1"/>
    <row r="4906" customFormat="1"/>
    <row r="4907" customFormat="1"/>
    <row r="4908" customFormat="1"/>
    <row r="4909" customFormat="1"/>
    <row r="4910" customFormat="1"/>
    <row r="4911" customFormat="1"/>
    <row r="4912" customFormat="1"/>
    <row r="4913" customFormat="1"/>
    <row r="4914" customFormat="1"/>
    <row r="4915" customFormat="1"/>
    <row r="4916" customFormat="1"/>
    <row r="4917" customFormat="1"/>
    <row r="4918" customFormat="1"/>
    <row r="4919" customFormat="1"/>
    <row r="4920" customFormat="1"/>
    <row r="4921" customFormat="1"/>
    <row r="4922" customFormat="1"/>
    <row r="4923" customFormat="1"/>
    <row r="4924" customFormat="1"/>
    <row r="4925" customFormat="1"/>
    <row r="4926" customFormat="1"/>
    <row r="4927" customFormat="1"/>
    <row r="4928" customFormat="1"/>
    <row r="4929" customFormat="1"/>
    <row r="4930" customFormat="1"/>
    <row r="4931" customFormat="1"/>
    <row r="4932" customFormat="1"/>
    <row r="4933" customFormat="1"/>
    <row r="4934" customFormat="1"/>
    <row r="4935" customFormat="1"/>
    <row r="4936" customFormat="1"/>
    <row r="4937" customFormat="1"/>
    <row r="4938" customFormat="1"/>
    <row r="4939" customFormat="1"/>
    <row r="4940" customFormat="1"/>
    <row r="4941" customFormat="1"/>
    <row r="4942" customFormat="1"/>
    <row r="4943" customFormat="1"/>
    <row r="4944" customFormat="1"/>
    <row r="4945" customFormat="1"/>
    <row r="4946" customFormat="1"/>
    <row r="4947" customFormat="1"/>
    <row r="4948" customFormat="1"/>
    <row r="4949" customFormat="1"/>
    <row r="4950" customFormat="1"/>
    <row r="4951" customFormat="1"/>
    <row r="4952" customFormat="1"/>
    <row r="4953" customFormat="1"/>
    <row r="4954" customFormat="1"/>
    <row r="4955" customFormat="1"/>
    <row r="4956" customFormat="1"/>
    <row r="4957" customFormat="1"/>
    <row r="4958" customFormat="1"/>
    <row r="4959" customFormat="1"/>
    <row r="4960" customFormat="1"/>
    <row r="4961" customFormat="1"/>
    <row r="4962" customFormat="1"/>
    <row r="4963" customFormat="1"/>
    <row r="4964" customFormat="1"/>
    <row r="4965" customFormat="1"/>
    <row r="4966" customFormat="1"/>
    <row r="4967" customFormat="1"/>
    <row r="4968" customFormat="1"/>
    <row r="4969" customFormat="1"/>
    <row r="4970" customFormat="1"/>
    <row r="4971" customFormat="1"/>
    <row r="4972" customFormat="1"/>
    <row r="4973" customFormat="1"/>
    <row r="4974" customFormat="1"/>
    <row r="4975" customFormat="1"/>
    <row r="4976" customFormat="1"/>
    <row r="4977" customFormat="1"/>
    <row r="4978" customFormat="1"/>
    <row r="4979" customFormat="1"/>
    <row r="4980" customFormat="1"/>
    <row r="4981" customFormat="1"/>
    <row r="4982" customFormat="1"/>
    <row r="4983" customFormat="1"/>
    <row r="4984" customFormat="1"/>
    <row r="4985" customFormat="1"/>
    <row r="4986" customFormat="1"/>
    <row r="4987" customFormat="1"/>
    <row r="4988" customFormat="1"/>
    <row r="4989" customFormat="1"/>
    <row r="4990" customFormat="1"/>
    <row r="4991" customFormat="1"/>
    <row r="4992" customFormat="1"/>
    <row r="4993" customFormat="1"/>
    <row r="4994" customFormat="1"/>
    <row r="4995" customFormat="1"/>
    <row r="4996" customFormat="1"/>
    <row r="4997" customFormat="1"/>
    <row r="4998" customFormat="1"/>
    <row r="4999" customFormat="1"/>
    <row r="5000" customFormat="1"/>
    <row r="5001" customFormat="1"/>
    <row r="5002" customFormat="1"/>
    <row r="5003" customFormat="1"/>
    <row r="5004" customFormat="1"/>
    <row r="5005" customFormat="1"/>
    <row r="5006" customFormat="1"/>
    <row r="5007" customFormat="1"/>
    <row r="5008" customFormat="1"/>
    <row r="5009" customFormat="1"/>
    <row r="5010" customFormat="1"/>
    <row r="5011" customFormat="1"/>
    <row r="5012" customFormat="1"/>
    <row r="5013" customFormat="1"/>
    <row r="5014" customFormat="1"/>
    <row r="5015" customFormat="1"/>
    <row r="5016" customFormat="1"/>
    <row r="5017" customFormat="1"/>
    <row r="5018" customFormat="1"/>
    <row r="5019" customFormat="1"/>
    <row r="5020" customFormat="1"/>
    <row r="5021" customFormat="1"/>
    <row r="5022" customFormat="1"/>
    <row r="5023" customFormat="1"/>
    <row r="5024" customFormat="1"/>
    <row r="5025" customFormat="1"/>
    <row r="5026" customFormat="1"/>
    <row r="5027" customFormat="1"/>
    <row r="5028" customFormat="1"/>
    <row r="5029" customFormat="1"/>
    <row r="5030" customFormat="1"/>
    <row r="5031" customFormat="1"/>
    <row r="5032" customFormat="1"/>
    <row r="5033" customFormat="1"/>
    <row r="5034" customFormat="1"/>
    <row r="5035" customFormat="1"/>
    <row r="5036" customFormat="1"/>
    <row r="5037" customFormat="1"/>
    <row r="5038" customFormat="1"/>
    <row r="5039" customFormat="1"/>
    <row r="5040" customFormat="1"/>
    <row r="5041" customFormat="1"/>
    <row r="5042" customFormat="1"/>
    <row r="5043" customFormat="1"/>
    <row r="5044" customFormat="1"/>
    <row r="5045" customFormat="1"/>
    <row r="5046" customFormat="1"/>
    <row r="5047" customFormat="1"/>
    <row r="5048" customFormat="1"/>
    <row r="5049" customFormat="1"/>
    <row r="5050" customFormat="1"/>
    <row r="5051" customFormat="1"/>
    <row r="5052" customFormat="1"/>
    <row r="5053" customFormat="1"/>
    <row r="5054" customFormat="1"/>
    <row r="5055" customFormat="1"/>
    <row r="5056" customFormat="1"/>
    <row r="5057" customFormat="1"/>
    <row r="5058" customFormat="1"/>
    <row r="5059" customFormat="1"/>
    <row r="5060" customFormat="1"/>
    <row r="5061" customFormat="1"/>
    <row r="5062" customFormat="1"/>
    <row r="5063" customFormat="1"/>
    <row r="5064" customFormat="1"/>
    <row r="5065" customFormat="1"/>
    <row r="5066" customFormat="1"/>
    <row r="5067" customFormat="1"/>
    <row r="5068" customFormat="1"/>
    <row r="5069" customFormat="1"/>
    <row r="5070" customFormat="1"/>
    <row r="5071" customFormat="1"/>
    <row r="5072" customFormat="1"/>
    <row r="5073" customFormat="1"/>
    <row r="5074" customFormat="1"/>
    <row r="5075" customFormat="1"/>
    <row r="5076" customFormat="1"/>
    <row r="5077" customFormat="1"/>
    <row r="5078" customFormat="1"/>
    <row r="5079" customFormat="1"/>
    <row r="5080" customFormat="1"/>
    <row r="5081" customFormat="1"/>
    <row r="5082" customFormat="1"/>
    <row r="5083" customFormat="1"/>
    <row r="5084" customFormat="1"/>
    <row r="5085" customFormat="1"/>
    <row r="5086" customFormat="1"/>
    <row r="5087" customFormat="1"/>
    <row r="5088" customFormat="1"/>
    <row r="5089" customFormat="1"/>
    <row r="5090" customFormat="1"/>
    <row r="5091" customFormat="1"/>
    <row r="5092" customFormat="1"/>
    <row r="5093" customFormat="1"/>
    <row r="5094" customFormat="1"/>
    <row r="5095" customFormat="1"/>
    <row r="5096" customFormat="1"/>
    <row r="5097" customFormat="1"/>
    <row r="5098" customFormat="1"/>
    <row r="5099" customFormat="1"/>
    <row r="5100" customFormat="1"/>
    <row r="5101" customFormat="1"/>
    <row r="5102" customFormat="1"/>
    <row r="5103" customFormat="1"/>
    <row r="5104" customFormat="1"/>
    <row r="5105" customFormat="1"/>
    <row r="5106" customFormat="1"/>
    <row r="5107" customFormat="1"/>
    <row r="5108" customFormat="1"/>
    <row r="5109" customFormat="1"/>
    <row r="5110" customFormat="1"/>
    <row r="5111" customFormat="1"/>
    <row r="5112" customFormat="1"/>
    <row r="5113" customFormat="1"/>
    <row r="5114" customFormat="1"/>
    <row r="5115" customFormat="1"/>
    <row r="5116" customFormat="1"/>
    <row r="5117" customFormat="1"/>
    <row r="5118" customFormat="1"/>
    <row r="5119" customFormat="1"/>
    <row r="5120" customFormat="1"/>
    <row r="5121" customFormat="1"/>
    <row r="5122" customFormat="1"/>
    <row r="5123" customFormat="1"/>
    <row r="5124" customFormat="1"/>
    <row r="5125" customFormat="1"/>
    <row r="5126" customFormat="1"/>
    <row r="5127" customFormat="1"/>
    <row r="5128" customFormat="1"/>
    <row r="5129" customFormat="1"/>
    <row r="5130" customFormat="1"/>
    <row r="5131" customFormat="1"/>
    <row r="5132" customFormat="1"/>
    <row r="5133" customFormat="1"/>
    <row r="5134" customFormat="1"/>
    <row r="5135" customFormat="1"/>
    <row r="5136" customFormat="1"/>
    <row r="5137" customFormat="1"/>
    <row r="5138" customFormat="1"/>
    <row r="5139" customFormat="1"/>
    <row r="5140" customFormat="1"/>
    <row r="5141" customFormat="1"/>
    <row r="5142" customFormat="1"/>
    <row r="5143" customFormat="1"/>
    <row r="5144" customFormat="1"/>
    <row r="5145" customFormat="1"/>
    <row r="5146" customFormat="1"/>
    <row r="5147" customFormat="1"/>
    <row r="5148" customFormat="1"/>
    <row r="5149" customFormat="1"/>
    <row r="5150" customFormat="1"/>
    <row r="5151" customFormat="1"/>
    <row r="5152" customFormat="1"/>
    <row r="5153" customFormat="1"/>
    <row r="5154" customFormat="1"/>
    <row r="5155" customFormat="1"/>
    <row r="5156" customFormat="1"/>
    <row r="5157" customFormat="1"/>
    <row r="5158" customFormat="1"/>
    <row r="5159" customFormat="1"/>
    <row r="5160" customFormat="1"/>
    <row r="5161" customFormat="1"/>
    <row r="5162" customFormat="1"/>
    <row r="5163" customFormat="1"/>
    <row r="5164" customFormat="1"/>
    <row r="5165" customFormat="1"/>
    <row r="5166" customFormat="1"/>
    <row r="5167" customFormat="1"/>
    <row r="5168" customFormat="1"/>
    <row r="5169" customFormat="1"/>
    <row r="5170" customFormat="1"/>
    <row r="5171" customFormat="1"/>
    <row r="5172" customFormat="1"/>
    <row r="5173" customFormat="1"/>
    <row r="5174" customFormat="1"/>
    <row r="5175" customFormat="1"/>
    <row r="5176" customFormat="1"/>
    <row r="5177" customFormat="1"/>
    <row r="5178" customFormat="1"/>
    <row r="5179" customFormat="1"/>
    <row r="5180" customFormat="1"/>
    <row r="5181" customFormat="1"/>
    <row r="5182" customFormat="1"/>
    <row r="5183" customFormat="1"/>
    <row r="5184" customFormat="1"/>
    <row r="5185" customFormat="1"/>
    <row r="5186" customFormat="1"/>
    <row r="5187" customFormat="1"/>
    <row r="5188" customFormat="1"/>
    <row r="5189" customFormat="1"/>
    <row r="5190" customFormat="1"/>
    <row r="5191" customFormat="1"/>
    <row r="5192" customFormat="1"/>
    <row r="5193" customFormat="1"/>
    <row r="5194" customFormat="1"/>
    <row r="5195" customFormat="1"/>
    <row r="5196" customFormat="1"/>
    <row r="5197" customFormat="1"/>
    <row r="5198" customFormat="1"/>
    <row r="5199" customFormat="1"/>
    <row r="5200" customFormat="1"/>
    <row r="5201" customFormat="1"/>
    <row r="5202" customFormat="1"/>
    <row r="5203" customFormat="1"/>
    <row r="5204" customFormat="1"/>
    <row r="5205" customFormat="1"/>
    <row r="5206" customFormat="1"/>
    <row r="5207" customFormat="1"/>
    <row r="5208" customFormat="1"/>
    <row r="5209" customFormat="1"/>
    <row r="5210" customFormat="1"/>
    <row r="5211" customFormat="1"/>
    <row r="5212" customFormat="1"/>
    <row r="5213" customFormat="1"/>
    <row r="5214" customFormat="1"/>
    <row r="5215" customFormat="1"/>
    <row r="5216" customFormat="1"/>
    <row r="5217" customFormat="1"/>
    <row r="5218" customFormat="1"/>
    <row r="5219" customFormat="1"/>
    <row r="5220" customFormat="1"/>
    <row r="5221" customFormat="1"/>
    <row r="5222" customFormat="1"/>
    <row r="5223" customFormat="1"/>
    <row r="5224" customFormat="1"/>
    <row r="5225" customFormat="1"/>
    <row r="5226" customFormat="1"/>
    <row r="5227" customFormat="1"/>
    <row r="5228" customFormat="1"/>
    <row r="5229" customFormat="1"/>
    <row r="5230" customFormat="1"/>
    <row r="5231" customFormat="1"/>
    <row r="5232" customFormat="1"/>
    <row r="5233" customFormat="1"/>
    <row r="5234" customFormat="1"/>
    <row r="5235" customFormat="1"/>
    <row r="5236" customFormat="1"/>
    <row r="5237" customFormat="1"/>
    <row r="5238" customFormat="1"/>
    <row r="5239" customFormat="1"/>
    <row r="5240" customFormat="1"/>
    <row r="5241" customFormat="1"/>
    <row r="5242" customFormat="1"/>
    <row r="5243" customFormat="1"/>
    <row r="5244" customFormat="1"/>
    <row r="5245" customFormat="1"/>
    <row r="5246" customFormat="1"/>
    <row r="5247" customFormat="1"/>
    <row r="5248" customFormat="1"/>
    <row r="5249" customFormat="1"/>
    <row r="5250" customFormat="1"/>
    <row r="5251" customFormat="1"/>
    <row r="5252" customFormat="1"/>
    <row r="5253" customFormat="1"/>
    <row r="5254" customFormat="1"/>
    <row r="5255" customFormat="1"/>
    <row r="5256" customFormat="1"/>
    <row r="5257" customFormat="1"/>
    <row r="5258" customFormat="1"/>
    <row r="5259" customFormat="1"/>
    <row r="5260" customFormat="1"/>
    <row r="5261" customFormat="1"/>
    <row r="5262" customFormat="1"/>
    <row r="5263" customFormat="1"/>
    <row r="5264" customFormat="1"/>
    <row r="5265" customFormat="1"/>
    <row r="5266" customFormat="1"/>
    <row r="5267" customFormat="1"/>
    <row r="5268" customFormat="1"/>
    <row r="5269" customFormat="1"/>
    <row r="5270" customFormat="1"/>
    <row r="5271" customFormat="1"/>
    <row r="5272" customFormat="1"/>
    <row r="5273" customFormat="1"/>
    <row r="5274" customFormat="1"/>
    <row r="5275" customFormat="1"/>
    <row r="5276" customFormat="1"/>
    <row r="5277" customFormat="1"/>
    <row r="5278" customFormat="1"/>
    <row r="5279" customFormat="1"/>
    <row r="5280" customFormat="1"/>
    <row r="5281" customFormat="1"/>
    <row r="5282" customFormat="1"/>
    <row r="5283" customFormat="1"/>
    <row r="5284" customFormat="1"/>
    <row r="5285" customFormat="1"/>
    <row r="5286" customFormat="1"/>
    <row r="5287" customFormat="1"/>
    <row r="5288" customFormat="1"/>
    <row r="5289" customFormat="1"/>
    <row r="5290" customFormat="1"/>
    <row r="5291" customFormat="1"/>
    <row r="5292" customFormat="1"/>
    <row r="5293" customFormat="1"/>
    <row r="5294" customFormat="1"/>
    <row r="5295" customFormat="1"/>
    <row r="5296" customFormat="1"/>
    <row r="5297" customFormat="1"/>
    <row r="5298" customFormat="1"/>
    <row r="5299" customFormat="1"/>
    <row r="5300" customFormat="1"/>
    <row r="5301" customFormat="1"/>
    <row r="5302" customFormat="1"/>
    <row r="5303" customFormat="1"/>
    <row r="5304" customFormat="1"/>
    <row r="5305" customFormat="1"/>
    <row r="5306" customFormat="1"/>
    <row r="5307" customFormat="1"/>
    <row r="5308" customFormat="1"/>
    <row r="5309" customFormat="1"/>
    <row r="5310" customFormat="1"/>
    <row r="5311" customFormat="1"/>
    <row r="5312" customFormat="1"/>
    <row r="5313" customFormat="1"/>
    <row r="5314" customFormat="1"/>
    <row r="5315" customFormat="1"/>
    <row r="5316" customFormat="1"/>
    <row r="5317" customFormat="1"/>
    <row r="5318" customFormat="1"/>
    <row r="5319" customFormat="1"/>
    <row r="5320" customFormat="1"/>
    <row r="5321" customFormat="1"/>
    <row r="5322" customFormat="1"/>
    <row r="5323" customFormat="1"/>
    <row r="5324" customFormat="1"/>
    <row r="5325" customFormat="1"/>
    <row r="5326" customFormat="1"/>
    <row r="5327" customFormat="1"/>
    <row r="5328" customFormat="1"/>
    <row r="5329" customFormat="1"/>
    <row r="5330" customFormat="1"/>
    <row r="5331" customFormat="1"/>
    <row r="5332" customFormat="1"/>
    <row r="5333" customFormat="1"/>
    <row r="5334" customFormat="1"/>
    <row r="5335" customFormat="1"/>
    <row r="5336" customFormat="1"/>
    <row r="5337" customFormat="1"/>
    <row r="5338" customFormat="1"/>
    <row r="5339" customFormat="1"/>
    <row r="5340" customFormat="1"/>
    <row r="5341" customFormat="1"/>
    <row r="5342" customFormat="1"/>
    <row r="5343" customFormat="1"/>
    <row r="5344" customFormat="1"/>
    <row r="5345" customFormat="1"/>
    <row r="5346" customFormat="1"/>
    <row r="5347" customFormat="1"/>
    <row r="5348" customFormat="1"/>
    <row r="5349" customFormat="1"/>
    <row r="5350" customFormat="1"/>
    <row r="5351" customFormat="1"/>
    <row r="5352" customFormat="1"/>
    <row r="5353" customFormat="1"/>
    <row r="5354" customFormat="1"/>
    <row r="5355" customFormat="1"/>
    <row r="5356" customFormat="1"/>
    <row r="5357" customFormat="1"/>
    <row r="5358" customFormat="1"/>
    <row r="5359" customFormat="1"/>
    <row r="5360" customFormat="1"/>
    <row r="5361" customFormat="1"/>
    <row r="5362" customFormat="1"/>
    <row r="5363" customFormat="1"/>
    <row r="5364" customFormat="1"/>
    <row r="5365" customFormat="1"/>
    <row r="5366" customFormat="1"/>
    <row r="5367" customFormat="1"/>
    <row r="5368" customFormat="1"/>
    <row r="5369" customFormat="1"/>
    <row r="5370" customFormat="1"/>
    <row r="5371" customFormat="1"/>
    <row r="5372" customFormat="1"/>
    <row r="5373" customFormat="1"/>
    <row r="5374" customFormat="1"/>
    <row r="5375" customFormat="1"/>
    <row r="5376" customFormat="1"/>
    <row r="5377" customFormat="1"/>
    <row r="5378" customFormat="1"/>
    <row r="5379" customFormat="1"/>
    <row r="5380" customFormat="1"/>
    <row r="5381" customFormat="1"/>
    <row r="5382" customFormat="1"/>
    <row r="5383" customFormat="1"/>
    <row r="5384" customFormat="1"/>
    <row r="5385" customFormat="1"/>
    <row r="5386" customFormat="1"/>
    <row r="5387" customFormat="1"/>
    <row r="5388" customFormat="1"/>
    <row r="5389" customFormat="1"/>
    <row r="5390" customFormat="1"/>
    <row r="5391" customFormat="1"/>
    <row r="5392" customFormat="1"/>
    <row r="5393" customFormat="1"/>
    <row r="5394" customFormat="1"/>
    <row r="5395" customFormat="1"/>
    <row r="5396" customFormat="1"/>
    <row r="5397" customFormat="1"/>
    <row r="5398" customFormat="1"/>
    <row r="5399" customFormat="1"/>
    <row r="5400" customFormat="1"/>
    <row r="5401" customFormat="1"/>
    <row r="5402" customFormat="1"/>
    <row r="5403" customFormat="1"/>
    <row r="5404" customFormat="1"/>
    <row r="5405" customFormat="1"/>
    <row r="5406" customFormat="1"/>
    <row r="5407" customFormat="1"/>
    <row r="5408" customFormat="1"/>
    <row r="5409" customFormat="1"/>
    <row r="5410" customFormat="1"/>
    <row r="5411" customFormat="1"/>
    <row r="5412" customFormat="1"/>
    <row r="5413" customFormat="1"/>
    <row r="5414" customFormat="1"/>
    <row r="5415" customFormat="1"/>
    <row r="5416" customFormat="1"/>
    <row r="5417" customFormat="1"/>
    <row r="5418" customFormat="1"/>
    <row r="5419" customFormat="1"/>
    <row r="5420" customFormat="1"/>
    <row r="5421" customFormat="1"/>
    <row r="5422" customFormat="1"/>
    <row r="5423" customFormat="1"/>
    <row r="5424" customFormat="1"/>
    <row r="5425" customFormat="1"/>
    <row r="5426" customFormat="1"/>
    <row r="5427" customFormat="1"/>
    <row r="5428" customFormat="1"/>
    <row r="5429" customFormat="1"/>
    <row r="5430" customFormat="1"/>
    <row r="5431" customFormat="1"/>
    <row r="5432" customFormat="1"/>
    <row r="5433" customFormat="1"/>
    <row r="5434" customFormat="1"/>
    <row r="5435" customFormat="1"/>
    <row r="5436" customFormat="1"/>
    <row r="5437" customFormat="1"/>
    <row r="5438" customFormat="1"/>
    <row r="5439" customFormat="1"/>
    <row r="5440" customFormat="1"/>
    <row r="5441" customFormat="1"/>
    <row r="5442" customFormat="1"/>
    <row r="5443" customFormat="1"/>
    <row r="5444" customFormat="1"/>
    <row r="5445" customFormat="1"/>
    <row r="5446" customFormat="1"/>
    <row r="5447" customFormat="1"/>
    <row r="5448" customFormat="1"/>
    <row r="5449" customFormat="1"/>
    <row r="5450" customFormat="1"/>
    <row r="5451" customFormat="1"/>
    <row r="5452" customFormat="1"/>
    <row r="5453" customFormat="1"/>
    <row r="5454" customFormat="1"/>
    <row r="5455" customFormat="1"/>
    <row r="5456" customFormat="1"/>
    <row r="5457" customFormat="1"/>
    <row r="5458" customFormat="1"/>
    <row r="5459" customFormat="1"/>
    <row r="5460" customFormat="1"/>
    <row r="5461" customFormat="1"/>
    <row r="5462" customFormat="1"/>
    <row r="5463" customFormat="1"/>
    <row r="5464" customFormat="1"/>
    <row r="5465" customFormat="1"/>
    <row r="5466" customFormat="1"/>
    <row r="5467" customFormat="1"/>
    <row r="5468" customFormat="1"/>
    <row r="5469" customFormat="1"/>
    <row r="5470" customFormat="1"/>
    <row r="5471" customFormat="1"/>
    <row r="5472" customFormat="1"/>
    <row r="5473" customFormat="1"/>
    <row r="5474" customFormat="1"/>
    <row r="5475" customFormat="1"/>
    <row r="5476" customFormat="1"/>
    <row r="5477" customFormat="1"/>
    <row r="5478" customFormat="1"/>
    <row r="5479" customFormat="1"/>
    <row r="5480" customFormat="1"/>
    <row r="5481" customFormat="1"/>
    <row r="5482" customFormat="1"/>
    <row r="5483" customFormat="1"/>
    <row r="5484" customFormat="1"/>
    <row r="5485" customFormat="1"/>
    <row r="5486" customFormat="1"/>
    <row r="5487" customFormat="1"/>
    <row r="5488" customFormat="1"/>
    <row r="5489" customFormat="1"/>
    <row r="5490" customFormat="1"/>
    <row r="5491" customFormat="1"/>
    <row r="5492" customFormat="1"/>
    <row r="5493" customFormat="1"/>
    <row r="5494" customFormat="1"/>
    <row r="5495" customFormat="1"/>
    <row r="5496" customFormat="1"/>
    <row r="5497" customFormat="1"/>
    <row r="5498" customFormat="1"/>
    <row r="5499" customFormat="1"/>
    <row r="5500" customFormat="1"/>
    <row r="5501" customFormat="1"/>
    <row r="5502" customFormat="1"/>
    <row r="5503" customFormat="1"/>
    <row r="5504" customFormat="1"/>
    <row r="5505" customFormat="1"/>
    <row r="5506" customFormat="1"/>
    <row r="5507" customFormat="1"/>
    <row r="5508" customFormat="1"/>
    <row r="5509" customFormat="1"/>
    <row r="5510" customFormat="1"/>
    <row r="5511" customFormat="1"/>
    <row r="5512" customFormat="1"/>
    <row r="5513" customFormat="1"/>
    <row r="5514" customFormat="1"/>
    <row r="5515" customFormat="1"/>
    <row r="5516" customFormat="1"/>
    <row r="5517" customFormat="1"/>
    <row r="5518" customFormat="1"/>
    <row r="5519" customFormat="1"/>
    <row r="5520" customFormat="1"/>
    <row r="5521" customFormat="1"/>
    <row r="5522" customFormat="1"/>
    <row r="5523" customFormat="1"/>
    <row r="5524" customFormat="1"/>
    <row r="5525" customFormat="1"/>
    <row r="5526" customFormat="1"/>
    <row r="5527" customFormat="1"/>
    <row r="5528" customFormat="1"/>
    <row r="5529" customFormat="1"/>
    <row r="5530" customFormat="1"/>
    <row r="5531" customFormat="1"/>
    <row r="5532" customFormat="1"/>
    <row r="5533" customFormat="1"/>
    <row r="5534" customFormat="1"/>
    <row r="5535" customFormat="1"/>
    <row r="5536" customFormat="1"/>
    <row r="5537" customFormat="1"/>
    <row r="5538" customFormat="1"/>
    <row r="5539" customFormat="1"/>
    <row r="5540" customFormat="1"/>
    <row r="5541" customFormat="1"/>
    <row r="5542" customFormat="1"/>
    <row r="5543" customFormat="1"/>
    <row r="5544" customFormat="1"/>
    <row r="5545" customFormat="1"/>
    <row r="5546" customFormat="1"/>
    <row r="5547" customFormat="1"/>
    <row r="5548" customFormat="1"/>
    <row r="5549" customFormat="1"/>
    <row r="5550" customFormat="1"/>
    <row r="5551" customFormat="1"/>
    <row r="5552" customFormat="1"/>
    <row r="5553" customFormat="1"/>
    <row r="5554" customFormat="1"/>
    <row r="5555" customFormat="1"/>
    <row r="5556" customFormat="1"/>
    <row r="5557" customFormat="1"/>
    <row r="5558" customFormat="1"/>
    <row r="5559" customFormat="1"/>
    <row r="5560" customFormat="1"/>
    <row r="5561" customFormat="1"/>
    <row r="5562" customFormat="1"/>
    <row r="5563" customFormat="1"/>
    <row r="5564" customFormat="1"/>
    <row r="5565" customFormat="1"/>
    <row r="5566" customFormat="1"/>
    <row r="5567" customFormat="1"/>
    <row r="5568" customFormat="1"/>
    <row r="5569" customFormat="1"/>
    <row r="5570" customFormat="1"/>
    <row r="5571" customFormat="1"/>
    <row r="5572" customFormat="1"/>
    <row r="5573" customFormat="1"/>
    <row r="5574" customFormat="1"/>
    <row r="5575" customFormat="1"/>
    <row r="5576" customFormat="1"/>
    <row r="5577" customFormat="1"/>
    <row r="5578" customFormat="1"/>
    <row r="5579" customFormat="1"/>
    <row r="5580" customFormat="1"/>
    <row r="5581" customFormat="1"/>
    <row r="5582" customFormat="1"/>
    <row r="5583" customFormat="1"/>
    <row r="5584" customFormat="1"/>
    <row r="5585" customFormat="1"/>
    <row r="5586" customFormat="1"/>
    <row r="5587" customFormat="1"/>
    <row r="5588" customFormat="1"/>
    <row r="5589" customFormat="1"/>
    <row r="5590" customFormat="1"/>
    <row r="5591" customFormat="1"/>
    <row r="5592" customFormat="1"/>
    <row r="5593" customFormat="1"/>
    <row r="5594" customFormat="1"/>
    <row r="5595" customFormat="1"/>
    <row r="5596" customFormat="1"/>
    <row r="5597" customFormat="1"/>
    <row r="5598" customFormat="1"/>
    <row r="5599" customFormat="1"/>
    <row r="5600" customFormat="1"/>
    <row r="5601" customFormat="1"/>
    <row r="5602" customFormat="1"/>
    <row r="5603" customFormat="1"/>
    <row r="5604" customFormat="1"/>
    <row r="5605" customFormat="1"/>
    <row r="5606" customFormat="1"/>
    <row r="5607" customFormat="1"/>
    <row r="5608" customFormat="1"/>
    <row r="5609" customFormat="1"/>
    <row r="5610" customFormat="1"/>
    <row r="5611" customFormat="1"/>
    <row r="5612" customFormat="1"/>
    <row r="5613" customFormat="1"/>
    <row r="5614" customFormat="1"/>
    <row r="5615" customFormat="1"/>
    <row r="5616" customFormat="1"/>
    <row r="5617" customFormat="1"/>
    <row r="5618" customFormat="1"/>
    <row r="5619" customFormat="1"/>
    <row r="5620" customFormat="1"/>
    <row r="5621" customFormat="1"/>
    <row r="5622" customFormat="1"/>
    <row r="5623" customFormat="1"/>
    <row r="5624" customFormat="1"/>
    <row r="5625" customFormat="1"/>
    <row r="5626" customFormat="1"/>
    <row r="5627" customFormat="1"/>
    <row r="5628" customFormat="1"/>
    <row r="5629" customFormat="1"/>
    <row r="5630" customFormat="1"/>
    <row r="5631" customFormat="1"/>
    <row r="5632" customFormat="1"/>
    <row r="5633" customFormat="1"/>
    <row r="5634" customFormat="1"/>
    <row r="5635" customFormat="1"/>
    <row r="5636" customFormat="1"/>
    <row r="5637" customFormat="1"/>
    <row r="5638" customFormat="1"/>
    <row r="5639" customFormat="1"/>
    <row r="5640" customFormat="1"/>
    <row r="5641" customFormat="1"/>
    <row r="5642" customFormat="1"/>
    <row r="5643" customFormat="1"/>
    <row r="5644" customFormat="1"/>
    <row r="5645" customFormat="1"/>
    <row r="5646" customFormat="1"/>
    <row r="5647" customFormat="1"/>
    <row r="5648" customFormat="1"/>
    <row r="5649" customFormat="1"/>
    <row r="5650" customFormat="1"/>
    <row r="5651" customFormat="1"/>
    <row r="5652" customFormat="1"/>
    <row r="5653" customFormat="1"/>
    <row r="5654" customFormat="1"/>
    <row r="5655" customFormat="1"/>
    <row r="5656" customFormat="1"/>
    <row r="5657" customFormat="1"/>
    <row r="5658" customFormat="1"/>
    <row r="5659" customFormat="1"/>
    <row r="5660" customFormat="1"/>
    <row r="5661" customFormat="1"/>
    <row r="5662" customFormat="1"/>
    <row r="5663" customFormat="1"/>
    <row r="5664" customFormat="1"/>
    <row r="5665" customFormat="1"/>
    <row r="5666" customFormat="1"/>
    <row r="5667" customFormat="1"/>
    <row r="5668" customFormat="1"/>
    <row r="5669" customFormat="1"/>
    <row r="5670" customFormat="1"/>
    <row r="5671" customFormat="1"/>
    <row r="5672" customFormat="1"/>
    <row r="5673" customFormat="1"/>
    <row r="5674" customFormat="1"/>
    <row r="5675" customFormat="1"/>
    <row r="5676" customFormat="1"/>
    <row r="5677" customFormat="1"/>
    <row r="5678" customFormat="1"/>
    <row r="5679" customFormat="1"/>
    <row r="5680" customFormat="1"/>
    <row r="5681" customFormat="1"/>
    <row r="5682" customFormat="1"/>
    <row r="5683" customFormat="1"/>
    <row r="5684" customFormat="1"/>
    <row r="5685" customFormat="1"/>
    <row r="5686" customFormat="1"/>
    <row r="5687" customFormat="1"/>
    <row r="5688" customFormat="1"/>
    <row r="5689" customFormat="1"/>
    <row r="5690" customFormat="1"/>
    <row r="5691" customFormat="1"/>
    <row r="5692" customFormat="1"/>
    <row r="5693" customFormat="1"/>
    <row r="5694" customFormat="1"/>
    <row r="5695" customFormat="1"/>
    <row r="5696" customFormat="1"/>
    <row r="5697" customFormat="1"/>
    <row r="5698" customFormat="1"/>
    <row r="5699" customFormat="1"/>
    <row r="5700" customFormat="1"/>
    <row r="5701" customFormat="1"/>
    <row r="5702" customFormat="1"/>
    <row r="5703" customFormat="1"/>
    <row r="5704" customFormat="1"/>
    <row r="5705" customFormat="1"/>
    <row r="5706" customFormat="1"/>
    <row r="5707" customFormat="1"/>
    <row r="5708" customFormat="1"/>
    <row r="5709" customFormat="1"/>
    <row r="5710" customFormat="1"/>
    <row r="5711" customFormat="1"/>
    <row r="5712" customFormat="1"/>
    <row r="5713" customFormat="1"/>
    <row r="5714" customFormat="1"/>
    <row r="5715" customFormat="1"/>
    <row r="5716" customFormat="1"/>
    <row r="5717" customFormat="1"/>
    <row r="5718" customFormat="1"/>
    <row r="5719" customFormat="1"/>
    <row r="5720" customFormat="1"/>
    <row r="5721" customFormat="1"/>
    <row r="5722" customFormat="1"/>
    <row r="5723" customFormat="1"/>
    <row r="5724" customFormat="1"/>
    <row r="5725" customFormat="1"/>
    <row r="5726" customFormat="1"/>
    <row r="5727" customFormat="1"/>
    <row r="5728" customFormat="1"/>
    <row r="5729" customFormat="1"/>
    <row r="5730" customFormat="1"/>
    <row r="5731" customFormat="1"/>
    <row r="5732" customFormat="1"/>
    <row r="5733" customFormat="1"/>
    <row r="5734" customFormat="1"/>
    <row r="5735" customFormat="1"/>
    <row r="5736" customFormat="1"/>
    <row r="5737" customFormat="1"/>
    <row r="5738" customFormat="1"/>
    <row r="5739" customFormat="1"/>
    <row r="5740" customFormat="1"/>
    <row r="5741" customFormat="1"/>
    <row r="5742" customFormat="1"/>
    <row r="5743" customFormat="1"/>
    <row r="5744" customFormat="1"/>
    <row r="5745" customFormat="1"/>
    <row r="5746" customFormat="1"/>
    <row r="5747" customFormat="1"/>
    <row r="5748" customFormat="1"/>
    <row r="5749" customFormat="1"/>
    <row r="5750" customFormat="1"/>
    <row r="5751" customFormat="1"/>
    <row r="5752" customFormat="1"/>
    <row r="5753" customFormat="1"/>
    <row r="5754" customFormat="1"/>
    <row r="5755" customFormat="1"/>
    <row r="5756" customFormat="1"/>
    <row r="5757" customFormat="1"/>
    <row r="5758" customFormat="1"/>
    <row r="5759" customFormat="1"/>
    <row r="5760" customFormat="1"/>
    <row r="5761" customFormat="1"/>
    <row r="5762" customFormat="1"/>
    <row r="5763" customFormat="1"/>
    <row r="5764" customFormat="1"/>
    <row r="5765" customFormat="1"/>
    <row r="5766" customFormat="1"/>
    <row r="5767" customFormat="1"/>
    <row r="5768" customFormat="1"/>
    <row r="5769" customFormat="1"/>
    <row r="5770" customFormat="1"/>
    <row r="5771" customFormat="1"/>
    <row r="5772" customFormat="1"/>
    <row r="5773" customFormat="1"/>
    <row r="5774" customFormat="1"/>
    <row r="5775" customFormat="1"/>
    <row r="5776" customFormat="1"/>
    <row r="5777" customFormat="1"/>
    <row r="5778" customFormat="1"/>
    <row r="5779" customFormat="1"/>
    <row r="5780" customFormat="1"/>
    <row r="5781" customFormat="1"/>
    <row r="5782" customFormat="1"/>
    <row r="5783" customFormat="1"/>
    <row r="5784" customFormat="1"/>
    <row r="5785" customFormat="1"/>
    <row r="5786" customFormat="1"/>
    <row r="5787" customFormat="1"/>
    <row r="5788" customFormat="1"/>
    <row r="5789" customFormat="1"/>
    <row r="5790" customFormat="1"/>
    <row r="5791" customFormat="1"/>
    <row r="5792" customFormat="1"/>
    <row r="5793" customFormat="1"/>
    <row r="5794" customFormat="1"/>
    <row r="5795" customFormat="1"/>
    <row r="5796" customFormat="1"/>
    <row r="5797" customFormat="1"/>
    <row r="5798" customFormat="1"/>
    <row r="5799" customFormat="1"/>
    <row r="5800" customFormat="1"/>
    <row r="5801" customFormat="1"/>
    <row r="5802" customFormat="1"/>
    <row r="5803" customFormat="1"/>
    <row r="5804" customFormat="1"/>
    <row r="5805" customFormat="1"/>
    <row r="5806" customFormat="1"/>
    <row r="5807" customFormat="1"/>
    <row r="5808" customFormat="1"/>
    <row r="5809" customFormat="1"/>
    <row r="5810" customFormat="1"/>
    <row r="5811" customFormat="1"/>
    <row r="5812" customFormat="1"/>
    <row r="5813" customFormat="1"/>
    <row r="5814" customFormat="1"/>
    <row r="5815" customFormat="1"/>
    <row r="5816" customFormat="1"/>
    <row r="5817" customFormat="1"/>
    <row r="5818" customFormat="1"/>
    <row r="5819" customFormat="1"/>
    <row r="5820" customFormat="1"/>
    <row r="5821" customFormat="1"/>
    <row r="5822" customFormat="1"/>
    <row r="5823" customFormat="1"/>
    <row r="5824" customFormat="1"/>
    <row r="5825" customFormat="1"/>
    <row r="5826" customFormat="1"/>
    <row r="5827" customFormat="1"/>
    <row r="5828" customFormat="1"/>
    <row r="5829" customFormat="1"/>
    <row r="5830" customFormat="1"/>
    <row r="5831" customFormat="1"/>
    <row r="5832" customFormat="1"/>
    <row r="5833" customFormat="1"/>
    <row r="5834" customFormat="1"/>
    <row r="5835" customFormat="1"/>
    <row r="5836" customFormat="1"/>
    <row r="5837" customFormat="1"/>
    <row r="5838" customFormat="1"/>
    <row r="5839" customFormat="1"/>
    <row r="5840" customFormat="1"/>
    <row r="5841" customFormat="1"/>
    <row r="5842" customFormat="1"/>
    <row r="5843" customFormat="1"/>
    <row r="5844" customFormat="1"/>
    <row r="5845" customFormat="1"/>
    <row r="5846" customFormat="1"/>
    <row r="5847" customFormat="1"/>
    <row r="5848" customFormat="1"/>
    <row r="5849" customFormat="1"/>
    <row r="5850" customFormat="1"/>
    <row r="5851" customFormat="1"/>
    <row r="5852" customFormat="1"/>
    <row r="5853" customFormat="1"/>
    <row r="5854" customFormat="1"/>
    <row r="5855" customFormat="1"/>
    <row r="5856" customFormat="1"/>
    <row r="5857" customFormat="1"/>
    <row r="5858" customFormat="1"/>
    <row r="5859" customFormat="1"/>
    <row r="5860" customFormat="1"/>
    <row r="5861" customFormat="1"/>
    <row r="5862" customFormat="1"/>
    <row r="5863" customFormat="1"/>
    <row r="5864" customFormat="1"/>
    <row r="5865" customFormat="1"/>
    <row r="5866" customFormat="1"/>
    <row r="5867" customFormat="1"/>
    <row r="5868" customFormat="1"/>
    <row r="5869" customFormat="1"/>
    <row r="5870" customFormat="1"/>
    <row r="5871" customFormat="1"/>
    <row r="5872" customFormat="1"/>
    <row r="5873" customFormat="1"/>
    <row r="5874" customFormat="1"/>
    <row r="5875" customFormat="1"/>
    <row r="5876" customFormat="1"/>
    <row r="5877" customFormat="1"/>
    <row r="5878" customFormat="1"/>
    <row r="5879" customFormat="1"/>
    <row r="5880" customFormat="1"/>
    <row r="5881" customFormat="1"/>
    <row r="5882" customFormat="1"/>
    <row r="5883" customFormat="1"/>
    <row r="5884" customFormat="1"/>
    <row r="5885" customFormat="1"/>
    <row r="5886" customFormat="1"/>
    <row r="5887" customFormat="1"/>
    <row r="5888" customFormat="1"/>
    <row r="5889" customFormat="1"/>
    <row r="5890" customFormat="1"/>
    <row r="5891" customFormat="1"/>
    <row r="5892" customFormat="1"/>
    <row r="5893" customFormat="1"/>
    <row r="5894" customFormat="1"/>
    <row r="5895" customFormat="1"/>
    <row r="5896" customFormat="1"/>
    <row r="5897" customFormat="1"/>
    <row r="5898" customFormat="1"/>
    <row r="5899" customFormat="1"/>
    <row r="5900" customFormat="1"/>
    <row r="5901" customFormat="1"/>
    <row r="5902" customFormat="1"/>
    <row r="5903" customFormat="1"/>
    <row r="5904" customFormat="1"/>
    <row r="5905" customFormat="1"/>
    <row r="5906" customFormat="1"/>
    <row r="5907" customFormat="1"/>
    <row r="5908" customFormat="1"/>
    <row r="5909" customFormat="1"/>
    <row r="5910" customFormat="1"/>
    <row r="5911" customFormat="1"/>
    <row r="5912" customFormat="1"/>
    <row r="5913" customFormat="1"/>
    <row r="5914" customFormat="1"/>
    <row r="5915" customFormat="1"/>
    <row r="5916" customFormat="1"/>
    <row r="5917" customFormat="1"/>
    <row r="5918" customFormat="1"/>
    <row r="5919" customFormat="1"/>
    <row r="5920" customFormat="1"/>
    <row r="5921" customFormat="1"/>
    <row r="5922" customFormat="1"/>
    <row r="5923" customFormat="1"/>
    <row r="5924" customFormat="1"/>
    <row r="5925" customFormat="1"/>
    <row r="5926" customFormat="1"/>
    <row r="5927" customFormat="1"/>
    <row r="5928" customFormat="1"/>
    <row r="5929" customFormat="1"/>
    <row r="5930" customFormat="1"/>
    <row r="5931" customFormat="1"/>
    <row r="5932" customFormat="1"/>
    <row r="5933" customFormat="1"/>
    <row r="5934" customFormat="1"/>
    <row r="5935" customFormat="1"/>
    <row r="5936" customFormat="1"/>
    <row r="5937" customFormat="1"/>
    <row r="5938" customFormat="1"/>
    <row r="5939" customFormat="1"/>
    <row r="5940" customFormat="1"/>
    <row r="5941" customFormat="1"/>
    <row r="5942" customFormat="1"/>
    <row r="5943" customFormat="1"/>
    <row r="5944" customFormat="1"/>
    <row r="5945" customFormat="1"/>
    <row r="5946" customFormat="1"/>
    <row r="5947" customFormat="1"/>
    <row r="5948" customFormat="1"/>
    <row r="5949" customFormat="1"/>
    <row r="5950" customFormat="1"/>
    <row r="5951" customFormat="1"/>
    <row r="5952" customFormat="1"/>
    <row r="5953" customFormat="1"/>
    <row r="5954" customFormat="1"/>
    <row r="5955" customFormat="1"/>
    <row r="5956" customFormat="1"/>
    <row r="5957" customFormat="1"/>
    <row r="5958" customFormat="1"/>
    <row r="5959" customFormat="1"/>
    <row r="5960" customFormat="1"/>
    <row r="5961" customFormat="1"/>
    <row r="5962" customFormat="1"/>
    <row r="5963" customFormat="1"/>
    <row r="5964" customFormat="1"/>
    <row r="5965" customFormat="1"/>
    <row r="5966" customFormat="1"/>
    <row r="5967" customFormat="1"/>
    <row r="5968" customFormat="1"/>
    <row r="5969" customFormat="1"/>
    <row r="5970" customFormat="1"/>
    <row r="5971" customFormat="1"/>
    <row r="5972" customFormat="1"/>
    <row r="5973" customFormat="1"/>
    <row r="5974" customFormat="1"/>
    <row r="5975" customFormat="1"/>
    <row r="5976" customFormat="1"/>
    <row r="5977" customFormat="1"/>
    <row r="5978" customFormat="1"/>
    <row r="5979" customFormat="1"/>
    <row r="5980" customFormat="1"/>
    <row r="5981" customFormat="1"/>
    <row r="5982" customFormat="1"/>
    <row r="5983" customFormat="1"/>
    <row r="5984" customFormat="1"/>
    <row r="5985" customFormat="1"/>
    <row r="5986" customFormat="1"/>
    <row r="5987" customFormat="1"/>
    <row r="5988" customFormat="1"/>
    <row r="5989" customFormat="1"/>
    <row r="5990" customFormat="1"/>
    <row r="5991" customFormat="1"/>
    <row r="5992" customFormat="1"/>
    <row r="5993" customFormat="1"/>
    <row r="5994" customFormat="1"/>
    <row r="5995" customFormat="1"/>
    <row r="5996" customFormat="1"/>
    <row r="5997" customFormat="1"/>
    <row r="5998" customFormat="1"/>
    <row r="5999" customFormat="1"/>
    <row r="6000" customFormat="1"/>
    <row r="6001" customFormat="1"/>
    <row r="6002" customFormat="1"/>
    <row r="6003" customFormat="1"/>
    <row r="6004" customFormat="1"/>
    <row r="6005" customFormat="1"/>
    <row r="6006" customFormat="1"/>
    <row r="6007" customFormat="1"/>
    <row r="6008" customFormat="1"/>
    <row r="6009" customFormat="1"/>
    <row r="6010" customFormat="1"/>
    <row r="6011" customFormat="1"/>
    <row r="6012" customFormat="1"/>
    <row r="6013" customFormat="1"/>
    <row r="6014" customFormat="1"/>
    <row r="6015" customFormat="1"/>
    <row r="6016" customFormat="1"/>
    <row r="6017" customFormat="1"/>
    <row r="6018" customFormat="1"/>
    <row r="6019" customFormat="1"/>
    <row r="6020" customFormat="1"/>
    <row r="6021" customFormat="1"/>
    <row r="6022" customFormat="1"/>
    <row r="6023" customFormat="1"/>
    <row r="6024" customFormat="1"/>
    <row r="6025" customFormat="1"/>
    <row r="6026" customFormat="1"/>
    <row r="6027" customFormat="1"/>
    <row r="6028" customFormat="1"/>
    <row r="6029" customFormat="1"/>
    <row r="6030" customFormat="1"/>
    <row r="6031" customFormat="1"/>
    <row r="6032" customFormat="1"/>
    <row r="6033" customFormat="1"/>
    <row r="6034" customFormat="1"/>
    <row r="6035" customFormat="1"/>
    <row r="6036" customFormat="1"/>
    <row r="6037" customFormat="1"/>
    <row r="6038" customFormat="1"/>
    <row r="6039" customFormat="1"/>
    <row r="6040" customFormat="1"/>
    <row r="6041" customFormat="1"/>
    <row r="6042" customFormat="1"/>
    <row r="6043" customFormat="1"/>
    <row r="6044" customFormat="1"/>
    <row r="6045" customFormat="1"/>
    <row r="6046" customFormat="1"/>
    <row r="6047" customFormat="1"/>
    <row r="6048" customFormat="1"/>
    <row r="6049" customFormat="1"/>
    <row r="6050" customFormat="1"/>
    <row r="6051" customFormat="1"/>
    <row r="6052" customFormat="1"/>
    <row r="6053" customFormat="1"/>
    <row r="6054" customFormat="1"/>
    <row r="6055" customFormat="1"/>
    <row r="6056" customFormat="1"/>
    <row r="6057" customFormat="1"/>
    <row r="6058" customFormat="1"/>
    <row r="6059" customFormat="1"/>
    <row r="6060" customFormat="1"/>
    <row r="6061" customFormat="1"/>
    <row r="6062" customFormat="1"/>
    <row r="6063" customFormat="1"/>
    <row r="6064" customFormat="1"/>
    <row r="6065" customFormat="1"/>
    <row r="6066" customFormat="1"/>
    <row r="6067" customFormat="1"/>
    <row r="6068" customFormat="1"/>
    <row r="6069" customFormat="1"/>
    <row r="6070" customFormat="1"/>
    <row r="6071" customFormat="1"/>
    <row r="6072" customFormat="1"/>
    <row r="6073" customFormat="1"/>
    <row r="6074" customFormat="1"/>
    <row r="6075" customFormat="1"/>
    <row r="6076" customFormat="1"/>
    <row r="6077" customFormat="1"/>
    <row r="6078" customFormat="1"/>
    <row r="6079" customFormat="1"/>
    <row r="6080" customFormat="1"/>
    <row r="6081" customFormat="1"/>
    <row r="6082" customFormat="1"/>
    <row r="6083" customFormat="1"/>
    <row r="6084" customFormat="1"/>
    <row r="6085" customFormat="1"/>
    <row r="6086" customFormat="1"/>
    <row r="6087" customFormat="1"/>
    <row r="6088" customFormat="1"/>
    <row r="6089" customFormat="1"/>
    <row r="6090" customFormat="1"/>
    <row r="6091" customFormat="1"/>
  </sheetData>
  <mergeCells count="2">
    <mergeCell ref="I6:N6"/>
    <mergeCell ref="O6:P6"/>
  </mergeCells>
  <phoneticPr fontId="17" type="noConversion"/>
  <printOptions headings="1" gridLines="1" gridLinesSet="0"/>
  <pageMargins left="0.25" right="0.23" top="1" bottom="1" header="0.5" footer="0.5"/>
  <pageSetup orientation="landscape" blackAndWhite="1" horizontalDpi="4294967292" r:id="rId1"/>
  <headerFooter alignWithMargins="0">
    <oddHeader>&amp;A</oddHeader>
    <oddFooter>Page &amp;P</oddFooter>
  </headerFooter>
  <legacyDrawing r:id="rId2"/>
</worksheet>
</file>

<file path=xl/worksheets/sheet7.xml><?xml version="1.0" encoding="utf-8"?>
<worksheet xmlns="http://schemas.openxmlformats.org/spreadsheetml/2006/main" xmlns:r="http://schemas.openxmlformats.org/officeDocument/2006/relationships">
  <dimension ref="A1:G52"/>
  <sheetViews>
    <sheetView topLeftCell="A20" workbookViewId="0">
      <selection activeCell="E20" sqref="E20"/>
    </sheetView>
  </sheetViews>
  <sheetFormatPr defaultRowHeight="12.75"/>
  <cols>
    <col min="3" max="3" width="13.42578125" bestFit="1" customWidth="1"/>
    <col min="4" max="4" width="31.42578125" bestFit="1" customWidth="1"/>
    <col min="5" max="5" width="50" bestFit="1" customWidth="1"/>
    <col min="6" max="6" width="15.28515625" bestFit="1" customWidth="1"/>
  </cols>
  <sheetData>
    <row r="1" spans="1:7">
      <c r="A1" s="568" t="s">
        <v>512</v>
      </c>
      <c r="B1" s="569" t="s">
        <v>513</v>
      </c>
      <c r="C1" s="569" t="s">
        <v>514</v>
      </c>
      <c r="D1" s="569" t="s">
        <v>515</v>
      </c>
      <c r="E1" s="569" t="s">
        <v>516</v>
      </c>
      <c r="F1" s="569" t="s">
        <v>517</v>
      </c>
      <c r="G1" s="570" t="s">
        <v>518</v>
      </c>
    </row>
    <row r="2" spans="1:7">
      <c r="A2" s="571">
        <v>2010</v>
      </c>
      <c r="B2" s="572" t="s">
        <v>519</v>
      </c>
      <c r="C2" s="572" t="s">
        <v>520</v>
      </c>
      <c r="D2" s="572" t="s">
        <v>521</v>
      </c>
      <c r="E2" s="572" t="s">
        <v>522</v>
      </c>
      <c r="F2" s="573">
        <v>958360</v>
      </c>
      <c r="G2" s="574">
        <v>0.10940182814374566</v>
      </c>
    </row>
    <row r="3" spans="1:7">
      <c r="A3" s="575">
        <v>2010</v>
      </c>
      <c r="B3" s="576" t="s">
        <v>519</v>
      </c>
      <c r="C3" s="576" t="s">
        <v>125</v>
      </c>
      <c r="D3" s="576" t="s">
        <v>523</v>
      </c>
      <c r="E3" s="576" t="s">
        <v>523</v>
      </c>
      <c r="F3" s="577">
        <v>1089312.8900000001</v>
      </c>
      <c r="G3" s="578">
        <v>0.12435078589260229</v>
      </c>
    </row>
    <row r="4" spans="1:7">
      <c r="A4" s="571">
        <v>2010</v>
      </c>
      <c r="B4" s="572" t="s">
        <v>519</v>
      </c>
      <c r="C4" s="572" t="s">
        <v>524</v>
      </c>
      <c r="D4" s="572" t="s">
        <v>525</v>
      </c>
      <c r="E4" s="572" t="s">
        <v>379</v>
      </c>
      <c r="F4" s="573">
        <v>170985.88122558597</v>
      </c>
      <c r="G4" s="574">
        <v>1.9518935992891784E-2</v>
      </c>
    </row>
    <row r="5" spans="1:7">
      <c r="A5" s="579">
        <v>2010</v>
      </c>
      <c r="B5" s="580" t="s">
        <v>519</v>
      </c>
      <c r="C5" s="580" t="s">
        <v>524</v>
      </c>
      <c r="D5" s="580" t="s">
        <v>525</v>
      </c>
      <c r="E5" s="580" t="s">
        <v>525</v>
      </c>
      <c r="F5" s="581">
        <v>331864.95932299999</v>
      </c>
      <c r="G5" s="582">
        <v>3.7884128461882938E-2</v>
      </c>
    </row>
    <row r="6" spans="1:7">
      <c r="A6" s="571">
        <v>2010</v>
      </c>
      <c r="B6" s="572" t="s">
        <v>519</v>
      </c>
      <c r="C6" s="572" t="s">
        <v>524</v>
      </c>
      <c r="D6" s="572" t="s">
        <v>526</v>
      </c>
      <c r="E6" s="572" t="s">
        <v>527</v>
      </c>
      <c r="F6" s="573">
        <v>817413</v>
      </c>
      <c r="G6" s="574">
        <v>9.3311987118795514E-2</v>
      </c>
    </row>
    <row r="7" spans="1:7">
      <c r="A7" s="579">
        <v>2010</v>
      </c>
      <c r="B7" s="580" t="s">
        <v>519</v>
      </c>
      <c r="C7" s="580" t="s">
        <v>524</v>
      </c>
      <c r="D7" s="580" t="s">
        <v>526</v>
      </c>
      <c r="E7" s="580" t="s">
        <v>528</v>
      </c>
      <c r="F7" s="581">
        <v>9806657.629999999</v>
      </c>
      <c r="G7" s="582">
        <v>1.1194814753253013</v>
      </c>
    </row>
    <row r="8" spans="1:7">
      <c r="A8" s="571">
        <v>2010</v>
      </c>
      <c r="B8" s="572" t="s">
        <v>519</v>
      </c>
      <c r="C8" s="572" t="s">
        <v>524</v>
      </c>
      <c r="D8" s="572" t="s">
        <v>526</v>
      </c>
      <c r="E8" s="572" t="s">
        <v>529</v>
      </c>
      <c r="F8" s="573">
        <v>237928.44576999999</v>
      </c>
      <c r="G8" s="574">
        <v>2.7160781202837825E-2</v>
      </c>
    </row>
    <row r="9" spans="1:7">
      <c r="A9" s="579">
        <v>2010</v>
      </c>
      <c r="B9" s="580" t="s">
        <v>519</v>
      </c>
      <c r="C9" s="580" t="s">
        <v>530</v>
      </c>
      <c r="D9" s="580" t="s">
        <v>531</v>
      </c>
      <c r="E9" s="580" t="s">
        <v>532</v>
      </c>
      <c r="F9" s="581">
        <v>13022.680000000004</v>
      </c>
      <c r="G9" s="582">
        <v>1.4866073615849018E-3</v>
      </c>
    </row>
    <row r="10" spans="1:7">
      <c r="A10" s="571">
        <v>2010</v>
      </c>
      <c r="B10" s="572" t="s">
        <v>519</v>
      </c>
      <c r="C10" s="572" t="s">
        <v>533</v>
      </c>
      <c r="D10" s="572" t="s">
        <v>534</v>
      </c>
      <c r="E10" s="572" t="s">
        <v>535</v>
      </c>
      <c r="F10" s="573">
        <v>17366</v>
      </c>
      <c r="G10" s="574">
        <v>1.9824199844151735E-3</v>
      </c>
    </row>
    <row r="11" spans="1:7">
      <c r="A11" s="579">
        <v>2010</v>
      </c>
      <c r="B11" s="580" t="s">
        <v>519</v>
      </c>
      <c r="C11" s="580" t="s">
        <v>529</v>
      </c>
      <c r="D11" s="580" t="s">
        <v>529</v>
      </c>
      <c r="E11" s="580" t="s">
        <v>529</v>
      </c>
      <c r="F11" s="581">
        <v>1805611</v>
      </c>
      <c r="G11" s="582">
        <v>0.20611997367814183</v>
      </c>
    </row>
    <row r="12" spans="1:7">
      <c r="A12" s="583">
        <v>2011</v>
      </c>
      <c r="B12" s="584" t="s">
        <v>519</v>
      </c>
      <c r="C12" s="584" t="s">
        <v>536</v>
      </c>
      <c r="D12" s="584" t="s">
        <v>537</v>
      </c>
      <c r="E12" s="584" t="s">
        <v>538</v>
      </c>
      <c r="F12" s="585">
        <v>73601</v>
      </c>
      <c r="G12" s="586">
        <v>8.4019405767321587E-3</v>
      </c>
    </row>
    <row r="13" spans="1:7">
      <c r="A13" s="575">
        <v>2011</v>
      </c>
      <c r="B13" s="576" t="s">
        <v>519</v>
      </c>
      <c r="C13" s="576" t="s">
        <v>125</v>
      </c>
      <c r="D13" s="576" t="s">
        <v>523</v>
      </c>
      <c r="E13" s="576" t="s">
        <v>523</v>
      </c>
      <c r="F13" s="577">
        <v>1805071.2399999995</v>
      </c>
      <c r="G13" s="578">
        <v>0.20605836165850633</v>
      </c>
    </row>
    <row r="14" spans="1:7">
      <c r="A14" s="571">
        <v>2011</v>
      </c>
      <c r="B14" s="572" t="s">
        <v>519</v>
      </c>
      <c r="C14" s="572" t="s">
        <v>524</v>
      </c>
      <c r="D14" s="572" t="s">
        <v>525</v>
      </c>
      <c r="E14" s="572" t="s">
        <v>379</v>
      </c>
      <c r="F14" s="573">
        <v>34144</v>
      </c>
      <c r="G14" s="574">
        <v>3.8977168824203545E-3</v>
      </c>
    </row>
    <row r="15" spans="1:7">
      <c r="A15" s="579">
        <v>2011</v>
      </c>
      <c r="B15" s="580" t="s">
        <v>519</v>
      </c>
      <c r="C15" s="580" t="s">
        <v>524</v>
      </c>
      <c r="D15" s="580" t="s">
        <v>525</v>
      </c>
      <c r="E15" s="580" t="s">
        <v>525</v>
      </c>
      <c r="F15" s="581">
        <v>850145</v>
      </c>
      <c r="G15" s="582">
        <v>9.7048513824120164E-2</v>
      </c>
    </row>
    <row r="16" spans="1:7">
      <c r="A16" s="571">
        <v>2011</v>
      </c>
      <c r="B16" s="572" t="s">
        <v>519</v>
      </c>
      <c r="C16" s="572" t="s">
        <v>524</v>
      </c>
      <c r="D16" s="572" t="s">
        <v>526</v>
      </c>
      <c r="E16" s="572" t="s">
        <v>527</v>
      </c>
      <c r="F16" s="573">
        <v>1174650</v>
      </c>
      <c r="G16" s="574">
        <v>0.13409246504306793</v>
      </c>
    </row>
    <row r="17" spans="1:7">
      <c r="A17" s="579">
        <v>2011</v>
      </c>
      <c r="B17" s="580" t="s">
        <v>519</v>
      </c>
      <c r="C17" s="580" t="s">
        <v>524</v>
      </c>
      <c r="D17" s="580" t="s">
        <v>526</v>
      </c>
      <c r="E17" s="580" t="s">
        <v>528</v>
      </c>
      <c r="F17" s="581">
        <v>14520543.510000002</v>
      </c>
      <c r="G17" s="582">
        <v>1.6575962989554682</v>
      </c>
    </row>
    <row r="18" spans="1:7">
      <c r="A18" s="571">
        <v>2011</v>
      </c>
      <c r="B18" s="572" t="s">
        <v>519</v>
      </c>
      <c r="C18" s="572" t="s">
        <v>524</v>
      </c>
      <c r="D18" s="572" t="s">
        <v>526</v>
      </c>
      <c r="E18" s="572" t="s">
        <v>529</v>
      </c>
      <c r="F18" s="573">
        <v>70902.207999999999</v>
      </c>
      <c r="G18" s="574">
        <v>8.093859301880002E-3</v>
      </c>
    </row>
    <row r="19" spans="1:7">
      <c r="A19" s="579">
        <v>2011</v>
      </c>
      <c r="B19" s="580" t="s">
        <v>519</v>
      </c>
      <c r="C19" s="580" t="s">
        <v>530</v>
      </c>
      <c r="D19" s="580" t="s">
        <v>531</v>
      </c>
      <c r="E19" s="580" t="s">
        <v>532</v>
      </c>
      <c r="F19" s="581">
        <v>27822.880000000001</v>
      </c>
      <c r="G19" s="582">
        <v>3.176127778715454E-3</v>
      </c>
    </row>
    <row r="20" spans="1:7">
      <c r="A20" s="571">
        <v>2011</v>
      </c>
      <c r="B20" s="572" t="s">
        <v>519</v>
      </c>
      <c r="C20" s="572" t="s">
        <v>533</v>
      </c>
      <c r="D20" s="572" t="s">
        <v>539</v>
      </c>
      <c r="E20" s="572" t="s">
        <v>138</v>
      </c>
      <c r="F20" s="573">
        <v>107172</v>
      </c>
      <c r="G20" s="574">
        <v>1.2234246591106057E-2</v>
      </c>
    </row>
    <row r="21" spans="1:7">
      <c r="A21" s="579">
        <v>2011</v>
      </c>
      <c r="B21" s="580" t="s">
        <v>519</v>
      </c>
      <c r="C21" s="580" t="s">
        <v>529</v>
      </c>
      <c r="D21" s="580" t="s">
        <v>529</v>
      </c>
      <c r="E21" s="580" t="s">
        <v>529</v>
      </c>
      <c r="F21" s="581">
        <v>2800007.196211</v>
      </c>
      <c r="G21" s="582">
        <v>0.31963552790693939</v>
      </c>
    </row>
    <row r="22" spans="1:7">
      <c r="A22" s="583">
        <v>2012</v>
      </c>
      <c r="B22" s="584" t="s">
        <v>519</v>
      </c>
      <c r="C22" s="584" t="s">
        <v>125</v>
      </c>
      <c r="D22" s="584" t="s">
        <v>523</v>
      </c>
      <c r="E22" s="584" t="s">
        <v>523</v>
      </c>
      <c r="F22" s="585">
        <v>1250823.77</v>
      </c>
      <c r="G22" s="586">
        <v>0.14278810186078772</v>
      </c>
    </row>
    <row r="23" spans="1:7">
      <c r="A23" s="579">
        <v>2012</v>
      </c>
      <c r="B23" s="580" t="s">
        <v>519</v>
      </c>
      <c r="C23" s="580" t="s">
        <v>524</v>
      </c>
      <c r="D23" s="580" t="s">
        <v>525</v>
      </c>
      <c r="E23" s="580" t="s">
        <v>379</v>
      </c>
      <c r="F23" s="581">
        <v>45152</v>
      </c>
      <c r="G23" s="582">
        <v>5.1543379013310187E-3</v>
      </c>
    </row>
    <row r="24" spans="1:7">
      <c r="A24" s="571">
        <v>2012</v>
      </c>
      <c r="B24" s="572" t="s">
        <v>519</v>
      </c>
      <c r="C24" s="572" t="s">
        <v>524</v>
      </c>
      <c r="D24" s="572" t="s">
        <v>525</v>
      </c>
      <c r="E24" s="572" t="s">
        <v>525</v>
      </c>
      <c r="F24" s="573">
        <v>89930</v>
      </c>
      <c r="G24" s="574">
        <v>1.0265981902193744E-2</v>
      </c>
    </row>
    <row r="25" spans="1:7">
      <c r="A25" s="579">
        <v>2012</v>
      </c>
      <c r="B25" s="580" t="s">
        <v>519</v>
      </c>
      <c r="C25" s="580" t="s">
        <v>524</v>
      </c>
      <c r="D25" s="580" t="s">
        <v>526</v>
      </c>
      <c r="E25" s="580" t="s">
        <v>528</v>
      </c>
      <c r="F25" s="581">
        <v>6934413</v>
      </c>
      <c r="G25" s="582">
        <v>0.79159966297447681</v>
      </c>
    </row>
    <row r="26" spans="1:7">
      <c r="A26" s="571">
        <v>2012</v>
      </c>
      <c r="B26" s="572" t="s">
        <v>519</v>
      </c>
      <c r="C26" s="572" t="s">
        <v>524</v>
      </c>
      <c r="D26" s="572" t="s">
        <v>526</v>
      </c>
      <c r="E26" s="572" t="s">
        <v>529</v>
      </c>
      <c r="F26" s="573">
        <v>78150.22129999999</v>
      </c>
      <c r="G26" s="574">
        <v>8.9212582679465413E-3</v>
      </c>
    </row>
    <row r="27" spans="1:7">
      <c r="A27" s="579">
        <v>2012</v>
      </c>
      <c r="B27" s="580" t="s">
        <v>519</v>
      </c>
      <c r="C27" s="580" t="s">
        <v>524</v>
      </c>
      <c r="D27" s="580" t="s">
        <v>540</v>
      </c>
      <c r="E27" s="580" t="s">
        <v>541</v>
      </c>
      <c r="F27" s="581">
        <v>220000</v>
      </c>
      <c r="G27" s="582">
        <v>2.5114155141636729E-2</v>
      </c>
    </row>
    <row r="28" spans="1:7">
      <c r="A28" s="571">
        <v>2012</v>
      </c>
      <c r="B28" s="572" t="s">
        <v>519</v>
      </c>
      <c r="C28" s="572" t="s">
        <v>530</v>
      </c>
      <c r="D28" s="572" t="s">
        <v>531</v>
      </c>
      <c r="E28" s="572" t="s">
        <v>532</v>
      </c>
      <c r="F28" s="573">
        <v>13200</v>
      </c>
      <c r="G28" s="574">
        <v>1.506849323050119E-3</v>
      </c>
    </row>
    <row r="29" spans="1:7">
      <c r="A29" s="579">
        <v>2012</v>
      </c>
      <c r="B29" s="580" t="s">
        <v>519</v>
      </c>
      <c r="C29" s="580" t="s">
        <v>530</v>
      </c>
      <c r="D29" s="580" t="s">
        <v>540</v>
      </c>
      <c r="E29" s="580" t="s">
        <v>529</v>
      </c>
      <c r="F29" s="581">
        <v>28569.4</v>
      </c>
      <c r="G29" s="582">
        <v>3.2613470684736967E-3</v>
      </c>
    </row>
    <row r="30" spans="1:7">
      <c r="A30" s="571">
        <v>2012</v>
      </c>
      <c r="B30" s="572" t="s">
        <v>519</v>
      </c>
      <c r="C30" s="572" t="s">
        <v>533</v>
      </c>
      <c r="D30" s="572" t="s">
        <v>539</v>
      </c>
      <c r="E30" s="572" t="s">
        <v>529</v>
      </c>
      <c r="F30" s="573">
        <v>109133.44</v>
      </c>
      <c r="G30" s="574">
        <v>1.2458155048079789E-2</v>
      </c>
    </row>
    <row r="31" spans="1:7">
      <c r="A31" s="579">
        <v>2012</v>
      </c>
      <c r="B31" s="580" t="s">
        <v>519</v>
      </c>
      <c r="C31" s="580" t="s">
        <v>533</v>
      </c>
      <c r="D31" s="580" t="s">
        <v>542</v>
      </c>
      <c r="E31" s="580" t="s">
        <v>529</v>
      </c>
      <c r="F31" s="581">
        <v>12364.77</v>
      </c>
      <c r="G31" s="582">
        <v>1.4115034136921167E-3</v>
      </c>
    </row>
    <row r="32" spans="1:7">
      <c r="A32" s="571">
        <v>2012</v>
      </c>
      <c r="B32" s="572" t="s">
        <v>519</v>
      </c>
      <c r="C32" s="572" t="s">
        <v>529</v>
      </c>
      <c r="D32" s="572" t="s">
        <v>529</v>
      </c>
      <c r="E32" s="572" t="s">
        <v>529</v>
      </c>
      <c r="F32" s="573">
        <v>15918.9</v>
      </c>
      <c r="G32" s="574">
        <v>1.8172260606661439E-3</v>
      </c>
    </row>
    <row r="33" spans="1:7">
      <c r="A33" s="575">
        <v>2013</v>
      </c>
      <c r="B33" s="576" t="s">
        <v>519</v>
      </c>
      <c r="C33" s="576" t="s">
        <v>125</v>
      </c>
      <c r="D33" s="576" t="s">
        <v>523</v>
      </c>
      <c r="E33" s="576" t="s">
        <v>523</v>
      </c>
      <c r="F33" s="577">
        <v>408401.22000000003</v>
      </c>
      <c r="G33" s="578">
        <v>4.6621143625088735E-2</v>
      </c>
    </row>
    <row r="34" spans="1:7">
      <c r="A34" s="571">
        <v>2013</v>
      </c>
      <c r="B34" s="572" t="s">
        <v>519</v>
      </c>
      <c r="C34" s="572" t="s">
        <v>524</v>
      </c>
      <c r="D34" s="572" t="s">
        <v>525</v>
      </c>
      <c r="E34" s="572" t="s">
        <v>379</v>
      </c>
      <c r="F34" s="573">
        <v>223752.75630000001</v>
      </c>
      <c r="G34" s="574">
        <v>2.5542551822582027E-2</v>
      </c>
    </row>
    <row r="35" spans="1:7">
      <c r="A35" s="579">
        <v>2013</v>
      </c>
      <c r="B35" s="580" t="s">
        <v>519</v>
      </c>
      <c r="C35" s="580" t="s">
        <v>524</v>
      </c>
      <c r="D35" s="580" t="s">
        <v>526</v>
      </c>
      <c r="E35" s="580" t="s">
        <v>789</v>
      </c>
      <c r="F35" s="581">
        <v>28474.52</v>
      </c>
      <c r="G35" s="582">
        <v>3.2505160197615623E-3</v>
      </c>
    </row>
    <row r="36" spans="1:7">
      <c r="A36" s="571">
        <v>2013</v>
      </c>
      <c r="B36" s="572" t="s">
        <v>519</v>
      </c>
      <c r="C36" s="572" t="s">
        <v>524</v>
      </c>
      <c r="D36" s="572" t="s">
        <v>526</v>
      </c>
      <c r="E36" s="572" t="s">
        <v>790</v>
      </c>
      <c r="F36" s="573">
        <v>11316.74</v>
      </c>
      <c r="G36" s="574">
        <v>1.2918652500957251E-3</v>
      </c>
    </row>
    <row r="37" spans="1:7">
      <c r="A37" s="579">
        <v>2013</v>
      </c>
      <c r="B37" s="580" t="s">
        <v>519</v>
      </c>
      <c r="C37" s="580" t="s">
        <v>524</v>
      </c>
      <c r="D37" s="580" t="s">
        <v>526</v>
      </c>
      <c r="E37" s="580" t="s">
        <v>791</v>
      </c>
      <c r="F37" s="581">
        <v>159717.96</v>
      </c>
      <c r="G37" s="582">
        <v>1.8232643604278564E-2</v>
      </c>
    </row>
    <row r="38" spans="1:7">
      <c r="A38" s="571">
        <v>2013</v>
      </c>
      <c r="B38" s="572" t="s">
        <v>519</v>
      </c>
      <c r="C38" s="572" t="s">
        <v>524</v>
      </c>
      <c r="D38" s="572" t="s">
        <v>526</v>
      </c>
      <c r="E38" s="572" t="s">
        <v>528</v>
      </c>
      <c r="F38" s="573">
        <v>5761422.1899999995</v>
      </c>
      <c r="G38" s="574">
        <v>0.65769659681245685</v>
      </c>
    </row>
    <row r="39" spans="1:7">
      <c r="A39" s="579">
        <v>2013</v>
      </c>
      <c r="B39" s="580" t="s">
        <v>519</v>
      </c>
      <c r="C39" s="580" t="s">
        <v>524</v>
      </c>
      <c r="D39" s="580" t="s">
        <v>540</v>
      </c>
      <c r="E39" s="580" t="s">
        <v>541</v>
      </c>
      <c r="F39" s="581">
        <v>450007.59</v>
      </c>
      <c r="G39" s="582">
        <v>5.1370728760957718E-2</v>
      </c>
    </row>
    <row r="40" spans="1:7">
      <c r="A40" s="571">
        <v>2013</v>
      </c>
      <c r="B40" s="572" t="s">
        <v>519</v>
      </c>
      <c r="C40" s="572" t="s">
        <v>524</v>
      </c>
      <c r="D40" s="572" t="s">
        <v>540</v>
      </c>
      <c r="E40" s="572" t="s">
        <v>792</v>
      </c>
      <c r="F40" s="573">
        <v>160081.84419999999</v>
      </c>
      <c r="G40" s="574">
        <v>1.8274182570166886E-2</v>
      </c>
    </row>
    <row r="41" spans="1:7">
      <c r="A41" s="579">
        <v>2013</v>
      </c>
      <c r="B41" s="580" t="s">
        <v>519</v>
      </c>
      <c r="C41" s="580" t="s">
        <v>530</v>
      </c>
      <c r="D41" s="580" t="s">
        <v>531</v>
      </c>
      <c r="E41" s="580" t="s">
        <v>532</v>
      </c>
      <c r="F41" s="581">
        <v>4800</v>
      </c>
      <c r="G41" s="582">
        <v>5.4794520838186145E-4</v>
      </c>
    </row>
    <row r="42" spans="1:7">
      <c r="A42" s="571">
        <v>2013</v>
      </c>
      <c r="B42" s="572" t="s">
        <v>519</v>
      </c>
      <c r="C42" s="572" t="s">
        <v>533</v>
      </c>
      <c r="D42" s="572" t="s">
        <v>539</v>
      </c>
      <c r="E42" s="572" t="s">
        <v>793</v>
      </c>
      <c r="F42" s="573">
        <v>12538.571100000001</v>
      </c>
      <c r="G42" s="574">
        <v>1.4313436986412853E-3</v>
      </c>
    </row>
    <row r="43" spans="1:7">
      <c r="A43" s="579">
        <v>2013</v>
      </c>
      <c r="B43" s="580" t="s">
        <v>519</v>
      </c>
      <c r="C43" s="580" t="s">
        <v>533</v>
      </c>
      <c r="D43" s="580" t="s">
        <v>539</v>
      </c>
      <c r="E43" s="580" t="s">
        <v>138</v>
      </c>
      <c r="F43" s="581">
        <v>186633.75569999998</v>
      </c>
      <c r="G43" s="582">
        <v>2.1305223381204996E-2</v>
      </c>
    </row>
    <row r="44" spans="1:7">
      <c r="A44" s="583">
        <v>2013</v>
      </c>
      <c r="B44" s="584" t="s">
        <v>519</v>
      </c>
      <c r="C44" s="584" t="s">
        <v>269</v>
      </c>
      <c r="D44" s="584" t="s">
        <v>794</v>
      </c>
      <c r="E44" s="584" t="s">
        <v>794</v>
      </c>
      <c r="F44" s="585">
        <v>17631.080000000002</v>
      </c>
      <c r="G44" s="586">
        <v>2.012680284678936E-3</v>
      </c>
    </row>
    <row r="49" spans="5:7">
      <c r="E49" s="572" t="s">
        <v>793</v>
      </c>
      <c r="F49" s="538">
        <f>SUMIF($E$2:$E$44,$E49,F$2:F$44)</f>
        <v>12538.571100000001</v>
      </c>
      <c r="G49" s="587">
        <f>SUMIF($E$2:$E$44,$E49,G$2:G$44)</f>
        <v>1.4313436986412853E-3</v>
      </c>
    </row>
    <row r="50" spans="5:7">
      <c r="E50" s="576" t="s">
        <v>523</v>
      </c>
      <c r="F50" s="538">
        <f t="shared" ref="F50:G52" si="0">SUMIF($E$2:$E$44,$E50,F$2:F$44)</f>
        <v>4553609.12</v>
      </c>
      <c r="G50" s="587">
        <f t="shared" si="0"/>
        <v>0.51981839303698507</v>
      </c>
    </row>
    <row r="51" spans="5:7">
      <c r="E51" s="580" t="s">
        <v>789</v>
      </c>
      <c r="F51" s="538">
        <f t="shared" si="0"/>
        <v>28474.52</v>
      </c>
      <c r="G51" s="587">
        <f t="shared" si="0"/>
        <v>3.2505160197615623E-3</v>
      </c>
    </row>
    <row r="52" spans="5:7">
      <c r="E52" s="580" t="s">
        <v>138</v>
      </c>
      <c r="F52" s="538">
        <f t="shared" si="0"/>
        <v>293805.75569999998</v>
      </c>
      <c r="G52" s="587">
        <f t="shared" si="0"/>
        <v>3.3539469972311053E-2</v>
      </c>
    </row>
  </sheetData>
  <autoFilter ref="A1:G44"/>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Sheet5"/>
  <dimension ref="A1:AG245"/>
  <sheetViews>
    <sheetView topLeftCell="A22" zoomScale="75" workbookViewId="0">
      <selection activeCell="H51" sqref="H51"/>
    </sheetView>
  </sheetViews>
  <sheetFormatPr defaultRowHeight="12.75"/>
  <cols>
    <col min="1" max="1" width="53" style="34" customWidth="1"/>
    <col min="2" max="2" width="19" style="34" customWidth="1"/>
    <col min="3" max="3" width="12.28515625" style="34" customWidth="1"/>
    <col min="4" max="4" width="17.140625" style="34" customWidth="1"/>
    <col min="5" max="5" width="9.140625" style="34"/>
    <col min="6" max="6" width="17.28515625" style="34" customWidth="1"/>
    <col min="7" max="7" width="12.42578125" style="34" customWidth="1"/>
    <col min="8" max="8" width="11.7109375" style="34" customWidth="1"/>
    <col min="9" max="9" width="9.140625" style="34"/>
    <col min="10" max="10" width="13.5703125" style="34" customWidth="1"/>
    <col min="11" max="11" width="15.7109375" style="34" bestFit="1" customWidth="1"/>
    <col min="12" max="12" width="17.5703125" style="34" customWidth="1"/>
    <col min="13" max="13" width="16.140625" style="34" customWidth="1"/>
    <col min="14" max="14" width="16.140625" style="34" bestFit="1" customWidth="1"/>
    <col min="15" max="33" width="15" style="34" bestFit="1" customWidth="1"/>
    <col min="34" max="16384" width="9.140625" style="34"/>
  </cols>
  <sheetData>
    <row r="1" spans="1:33">
      <c r="B1" s="224" t="s">
        <v>365</v>
      </c>
    </row>
    <row r="2" spans="1:33" ht="38.25">
      <c r="A2" s="35" t="s">
        <v>0</v>
      </c>
      <c r="B2" s="36" t="s">
        <v>1</v>
      </c>
      <c r="C2" s="36" t="s">
        <v>2</v>
      </c>
      <c r="D2" s="36" t="s">
        <v>3</v>
      </c>
    </row>
    <row r="3" spans="1:33" ht="13.5" thickBot="1">
      <c r="A3" s="37" t="s">
        <v>4</v>
      </c>
      <c r="B3" s="38">
        <f>'State Dairy Production Data'!AC24</f>
        <v>578761</v>
      </c>
      <c r="C3" s="38">
        <f>'State Dairy Production Data'!AD24</f>
        <v>23440</v>
      </c>
      <c r="D3" s="38">
        <f>'State Dairy Production Data'!AE24*1000000</f>
        <v>13431120000</v>
      </c>
      <c r="E3" s="34" t="s">
        <v>5</v>
      </c>
    </row>
    <row r="4" spans="1:33" ht="13.5" thickBot="1">
      <c r="A4" s="34" t="s">
        <v>6</v>
      </c>
      <c r="B4" s="39" t="s">
        <v>5</v>
      </c>
      <c r="C4" s="40">
        <f>'Milk Production by Herd Size'!D21</f>
        <v>0.98156233747609112</v>
      </c>
      <c r="E4" s="34" t="s">
        <v>7</v>
      </c>
    </row>
    <row r="5" spans="1:33" ht="13.5" thickBot="1">
      <c r="B5" s="41" t="s">
        <v>7</v>
      </c>
      <c r="C5" s="42">
        <f>'Milk Production by Herd Size'!C21</f>
        <v>1.8437662523908833E-2</v>
      </c>
      <c r="D5" s="43"/>
    </row>
    <row r="6" spans="1:33" ht="13.5" thickBot="1">
      <c r="A6" s="664" t="s">
        <v>8</v>
      </c>
      <c r="B6" s="665"/>
      <c r="C6" s="665"/>
      <c r="D6" s="665"/>
      <c r="E6" s="665"/>
      <c r="F6" s="665"/>
      <c r="G6" s="665"/>
      <c r="H6" s="665"/>
      <c r="I6" s="665"/>
      <c r="J6" s="675"/>
      <c r="K6" s="343">
        <v>2013</v>
      </c>
      <c r="L6" s="344">
        <v>2014</v>
      </c>
      <c r="M6" s="344">
        <v>2015</v>
      </c>
      <c r="N6" s="344">
        <v>2016</v>
      </c>
      <c r="O6" s="344">
        <v>2017</v>
      </c>
      <c r="P6" s="344">
        <v>2018</v>
      </c>
      <c r="Q6" s="344">
        <v>2019</v>
      </c>
      <c r="R6" s="344">
        <v>2020</v>
      </c>
      <c r="S6" s="344">
        <v>2021</v>
      </c>
      <c r="T6" s="344">
        <v>2022</v>
      </c>
      <c r="U6" s="344">
        <v>2023</v>
      </c>
      <c r="V6" s="344">
        <v>2024</v>
      </c>
      <c r="W6" s="344">
        <v>2025</v>
      </c>
      <c r="X6" s="344">
        <v>2026</v>
      </c>
      <c r="Y6" s="344">
        <v>2027</v>
      </c>
      <c r="Z6" s="344">
        <v>2028</v>
      </c>
      <c r="AA6" s="344">
        <v>2029</v>
      </c>
      <c r="AB6" s="344">
        <v>2030</v>
      </c>
      <c r="AC6" s="344">
        <v>2031</v>
      </c>
      <c r="AD6" s="344">
        <v>2032</v>
      </c>
      <c r="AE6" s="344">
        <v>2033</v>
      </c>
      <c r="AF6" s="344">
        <v>2034</v>
      </c>
      <c r="AG6" s="344">
        <v>2035</v>
      </c>
    </row>
    <row r="7" spans="1:33">
      <c r="A7" s="44" t="s">
        <v>9</v>
      </c>
      <c r="B7" s="45">
        <f>C4*B3</f>
        <v>568090</v>
      </c>
      <c r="C7" s="46"/>
      <c r="D7" s="46"/>
      <c r="E7" s="46"/>
      <c r="F7" s="45">
        <f>B7</f>
        <v>568090</v>
      </c>
      <c r="G7" s="46" t="s">
        <v>10</v>
      </c>
      <c r="H7" s="310"/>
      <c r="I7" s="310"/>
      <c r="J7" s="47" t="s">
        <v>11</v>
      </c>
      <c r="K7" s="321">
        <f>($B10*(K8/1000)/8760000)</f>
        <v>38.516179892993755</v>
      </c>
      <c r="L7" s="322">
        <f>($B10*(L8/1000)/8760000)</f>
        <v>38.078024726435345</v>
      </c>
      <c r="M7" s="322">
        <f t="shared" ref="M7:AF7" si="0">($B10*(M8/1000)/8760000)</f>
        <v>38.548315147255288</v>
      </c>
      <c r="N7" s="322">
        <f t="shared" ca="1" si="0"/>
        <v>39.094687130990451</v>
      </c>
      <c r="O7" s="322">
        <f t="shared" ca="1" si="0"/>
        <v>39.719597432673538</v>
      </c>
      <c r="P7" s="322">
        <f t="shared" ca="1" si="0"/>
        <v>40.246384613638853</v>
      </c>
      <c r="Q7" s="322">
        <f t="shared" ca="1" si="0"/>
        <v>40.956628059624947</v>
      </c>
      <c r="R7" s="322">
        <f t="shared" ca="1" si="0"/>
        <v>41.679320976420158</v>
      </c>
      <c r="S7" s="322">
        <f t="shared" ca="1" si="0"/>
        <v>42.471229348590498</v>
      </c>
      <c r="T7" s="322">
        <f t="shared" ca="1" si="0"/>
        <v>43.242766819106393</v>
      </c>
      <c r="U7" s="322">
        <f t="shared" ca="1" si="0"/>
        <v>44.125842549675852</v>
      </c>
      <c r="V7" s="322">
        <f t="shared" ca="1" si="0"/>
        <v>45.077165653974077</v>
      </c>
      <c r="W7" s="322">
        <f t="shared" ca="1" si="0"/>
        <v>46.088640598225957</v>
      </c>
      <c r="X7" s="322">
        <f t="shared" ca="1" si="0"/>
        <v>47.293567093723787</v>
      </c>
      <c r="Y7" s="322">
        <f t="shared" ca="1" si="0"/>
        <v>48.34998844225953</v>
      </c>
      <c r="Z7" s="322">
        <f t="shared" ca="1" si="0"/>
        <v>49.486719953374035</v>
      </c>
      <c r="AA7" s="322">
        <f t="shared" ca="1" si="0"/>
        <v>50.43230213747826</v>
      </c>
      <c r="AB7" s="322">
        <f t="shared" ca="1" si="0"/>
        <v>51.423831359814208</v>
      </c>
      <c r="AC7" s="322">
        <f t="shared" ca="1" si="0"/>
        <v>52.464118656339863</v>
      </c>
      <c r="AD7" s="322">
        <f t="shared" ca="1" si="0"/>
        <v>53.424520279298562</v>
      </c>
      <c r="AE7" s="322">
        <f t="shared" ca="1" si="0"/>
        <v>54.317394439182458</v>
      </c>
      <c r="AF7" s="322">
        <f t="shared" ca="1" si="0"/>
        <v>55.330500700124468</v>
      </c>
      <c r="AG7" s="323">
        <f t="shared" ref="AG7" ca="1" si="1">($B10*(AG8/1000)/8760000)</f>
        <v>56.020483603724621</v>
      </c>
    </row>
    <row r="8" spans="1:33">
      <c r="A8" s="48" t="s">
        <v>3</v>
      </c>
      <c r="B8" s="49">
        <f>D3*C4</f>
        <v>13183481542.121878</v>
      </c>
      <c r="C8" s="46"/>
      <c r="D8" s="46"/>
      <c r="E8" s="46"/>
      <c r="F8" s="49">
        <f>B8</f>
        <v>13183481542.121878</v>
      </c>
      <c r="G8" s="46"/>
      <c r="H8" s="46"/>
      <c r="I8" s="46"/>
      <c r="J8" s="46"/>
      <c r="K8" s="324">
        <f>'[2]Dairy Forecast (Base Case)'!C$157*1000000-$F23</f>
        <v>13183361542.121878</v>
      </c>
      <c r="L8" s="324">
        <f>'[2]Dairy Forecast (Base Case)'!D$157*1000000-$F23</f>
        <v>13033389296.994347</v>
      </c>
      <c r="M8" s="324">
        <f>'[2]Dairy Forecast (Base Case)'!E$157*1000000-$F23</f>
        <v>13194360833.234203</v>
      </c>
      <c r="N8" s="38">
        <f ca="1">(INDEX([2]!tbl_Forecast,MATCH('SC-Retro'!$D$8&amp;'Input Assumptions'!$A$3&amp;"Dairy"&amp;'SC-Retro'!$D$7,[2]!rng_ForecastRowLookup,0),MATCH('Input Assumptions'!N$6,[2]!rng_ForecastColumnLookup,0))*1000000-$F23)</f>
        <v>13381373652.731846</v>
      </c>
      <c r="O8" s="38">
        <f ca="1">(INDEX([2]!tbl_Forecast,MATCH('SC-Retro'!$D$8&amp;'Input Assumptions'!$A$3&amp;"Dairy"&amp;'SC-Retro'!$D$7,[2]!rng_ForecastRowLookup,0),MATCH('Input Assumptions'!O$6,[2]!rng_ForecastColumnLookup,0))*1000000-$F23)</f>
        <v>13595268656.373758</v>
      </c>
      <c r="P8" s="38">
        <f ca="1">(INDEX([2]!tbl_Forecast,MATCH('SC-Retro'!$D$8&amp;'Input Assumptions'!$A$3&amp;"Dairy"&amp;'SC-Retro'!$D$7,[2]!rng_ForecastRowLookup,0),MATCH('Input Assumptions'!P$6,[2]!rng_ForecastColumnLookup,0))*1000000-$F23)</f>
        <v>13775577967.466269</v>
      </c>
      <c r="Q8" s="38">
        <f ca="1">(INDEX([2]!tbl_Forecast,MATCH('SC-Retro'!$D$8&amp;'Input Assumptions'!$A$3&amp;"Dairy"&amp;'SC-Retro'!$D$7,[2]!rng_ForecastRowLookup,0),MATCH('Input Assumptions'!Q$6,[2]!rng_ForecastColumnLookup,0))*1000000-$F23)</f>
        <v>14018680896.089273</v>
      </c>
      <c r="R8" s="38">
        <f ca="1">(INDEX([2]!tbl_Forecast,MATCH('SC-Retro'!$D$8&amp;'Input Assumptions'!$A$3&amp;"Dairy"&amp;'SC-Retro'!$D$7,[2]!rng_ForecastRowLookup,0),MATCH('Input Assumptions'!R$6,[2]!rng_ForecastColumnLookup,0))*1000000-$F23)</f>
        <v>14266045043.63743</v>
      </c>
      <c r="S8" s="38">
        <f ca="1">(INDEX([2]!tbl_Forecast,MATCH('SC-Retro'!$D$8&amp;'Input Assumptions'!$A$3&amp;"Dairy"&amp;'SC-Retro'!$D$7,[2]!rng_ForecastRowLookup,0),MATCH('Input Assumptions'!S$6,[2]!rng_ForecastColumnLookup,0))*1000000-$F23)</f>
        <v>14537100335.402071</v>
      </c>
      <c r="T8" s="38">
        <f ca="1">(INDEX([2]!tbl_Forecast,MATCH('SC-Retro'!$D$8&amp;'Input Assumptions'!$A$3&amp;"Dairy"&amp;'SC-Retro'!$D$7,[2]!rng_ForecastRowLookup,0),MATCH('Input Assumptions'!T$6,[2]!rng_ForecastColumnLookup,0))*1000000-$F23)</f>
        <v>14801183051.947788</v>
      </c>
      <c r="U8" s="38">
        <f ca="1">(INDEX([2]!tbl_Forecast,MATCH('SC-Retro'!$D$8&amp;'Input Assumptions'!$A$3&amp;"Dairy"&amp;'SC-Retro'!$D$7,[2]!rng_ForecastRowLookup,0),MATCH('Input Assumptions'!U$6,[2]!rng_ForecastColumnLookup,0))*1000000-$F23)</f>
        <v>15103443210.081699</v>
      </c>
      <c r="V8" s="38">
        <f ca="1">(INDEX([2]!tbl_Forecast,MATCH('SC-Retro'!$D$8&amp;'Input Assumptions'!$A$3&amp;"Dairy"&amp;'SC-Retro'!$D$7,[2]!rng_ForecastRowLookup,0),MATCH('Input Assumptions'!V$6,[2]!rng_ForecastColumnLookup,0))*1000000-$F23)</f>
        <v>15429063156.353127</v>
      </c>
      <c r="W8" s="38">
        <f ca="1">(INDEX([2]!tbl_Forecast,MATCH('SC-Retro'!$D$8&amp;'Input Assumptions'!$A$3&amp;"Dairy"&amp;'SC-Retro'!$D$7,[2]!rng_ForecastRowLookup,0),MATCH('Input Assumptions'!W$6,[2]!rng_ForecastColumnLookup,0))*1000000-$F23)</f>
        <v>15775271942.320911</v>
      </c>
      <c r="X8" s="38">
        <f ca="1">(INDEX([2]!tbl_Forecast,MATCH('SC-Retro'!$D$8&amp;'Input Assumptions'!$A$3&amp;"Dairy"&amp;'SC-Retro'!$D$7,[2]!rng_ForecastRowLookup,0),MATCH('Input Assumptions'!X$6,[2]!rng_ForecastColumnLookup,0))*1000000-$F23)</f>
        <v>16187695543.673944</v>
      </c>
      <c r="Y8" s="38">
        <f ca="1">(INDEX([2]!tbl_Forecast,MATCH('SC-Retro'!$D$8&amp;'Input Assumptions'!$A$3&amp;"Dairy"&amp;'SC-Retro'!$D$7,[2]!rng_ForecastRowLookup,0),MATCH('Input Assumptions'!Y$6,[2]!rng_ForecastColumnLookup,0))*1000000-$F23)</f>
        <v>16549288635.648678</v>
      </c>
      <c r="Z8" s="38">
        <f ca="1">(INDEX([2]!tbl_Forecast,MATCH('SC-Retro'!$D$8&amp;'Input Assumptions'!$A$3&amp;"Dairy"&amp;'SC-Retro'!$D$7,[2]!rng_ForecastRowLookup,0),MATCH('Input Assumptions'!Z$6,[2]!rng_ForecastColumnLookup,0))*1000000-$F23)</f>
        <v>16938370380.748507</v>
      </c>
      <c r="AA8" s="38">
        <f ca="1">(INDEX([2]!tbl_Forecast,MATCH('SC-Retro'!$D$8&amp;'Input Assumptions'!$A$3&amp;"Dairy"&amp;'SC-Retro'!$D$7,[2]!rng_ForecastRowLookup,0),MATCH('Input Assumptions'!AA$6,[2]!rng_ForecastColumnLookup,0))*1000000-$F23)</f>
        <v>17262025318.373901</v>
      </c>
      <c r="AB8" s="38">
        <f ca="1">(INDEX([2]!tbl_Forecast,MATCH('SC-Retro'!$D$8&amp;'Input Assumptions'!$A$3&amp;"Dairy"&amp;'SC-Retro'!$D$7,[2]!rng_ForecastRowLookup,0),MATCH('Input Assumptions'!AB$6,[2]!rng_ForecastColumnLookup,0))*1000000-$F23)</f>
        <v>17601407060.123722</v>
      </c>
      <c r="AC8" s="38">
        <f ca="1">(INDEX([2]!tbl_Forecast,MATCH('SC-Retro'!$D$8&amp;'Input Assumptions'!$A$3&amp;"Dairy"&amp;'SC-Retro'!$D$7,[2]!rng_ForecastRowLookup,0),MATCH('Input Assumptions'!AC$6,[2]!rng_ForecastColumnLookup,0))*1000000-$F23)</f>
        <v>17957477770.559597</v>
      </c>
      <c r="AD8" s="38">
        <f ca="1">(INDEX([2]!tbl_Forecast,MATCH('SC-Retro'!$D$8&amp;'Input Assumptions'!$A$3&amp;"Dairy"&amp;'SC-Retro'!$D$7,[2]!rng_ForecastRowLookup,0),MATCH('Input Assumptions'!AD$6,[2]!rng_ForecastColumnLookup,0))*1000000-$F23)</f>
        <v>18286205122.448624</v>
      </c>
      <c r="AE8" s="38">
        <f ca="1">(INDEX([2]!tbl_Forecast,MATCH('SC-Retro'!$D$8&amp;'Input Assumptions'!$A$3&amp;"Dairy"&amp;'SC-Retro'!$D$7,[2]!rng_ForecastRowLookup,0),MATCH('Input Assumptions'!AE$6,[2]!rng_ForecastColumnLookup,0))*1000000-$F23)</f>
        <v>18591819098.03162</v>
      </c>
      <c r="AF8" s="38">
        <f ca="1">(INDEX([2]!tbl_Forecast,MATCH('SC-Retro'!$D$8&amp;'Input Assumptions'!$A$3&amp;"Dairy"&amp;'SC-Retro'!$D$7,[2]!rng_ForecastRowLookup,0),MATCH('Input Assumptions'!AF$6,[2]!rng_ForecastColumnLookup,0))*1000000-$F23)</f>
        <v>18938586252.918007</v>
      </c>
      <c r="AG8" s="38">
        <f ca="1">(INDEX([2]!tbl_Forecast,MATCH('SC-Retro'!$D$8&amp;'Input Assumptions'!$A$3&amp;"Dairy"&amp;'SC-Retro'!$D$7,[2]!rng_ForecastRowLookup,0),MATCH('Input Assumptions'!AG$6,[2]!rng_ForecastColumnLookup,0))*1000000-$F23)</f>
        <v>19174754380.217117</v>
      </c>
    </row>
    <row r="9" spans="1:33">
      <c r="A9" s="48" t="s">
        <v>12</v>
      </c>
      <c r="B9" s="49">
        <f>C3</f>
        <v>23440</v>
      </c>
      <c r="C9" s="46"/>
      <c r="D9" s="46"/>
      <c r="E9" s="46"/>
      <c r="F9" s="49">
        <f>B9</f>
        <v>23440</v>
      </c>
      <c r="G9" s="51"/>
      <c r="H9" s="51"/>
      <c r="I9" s="51"/>
      <c r="J9" s="51"/>
      <c r="K9" s="182">
        <f t="shared" ref="K9:T18" si="2">$F9</f>
        <v>23440</v>
      </c>
      <c r="L9" s="49">
        <f t="shared" si="2"/>
        <v>23440</v>
      </c>
      <c r="M9" s="49">
        <f t="shared" si="2"/>
        <v>23440</v>
      </c>
      <c r="N9" s="49">
        <f t="shared" si="2"/>
        <v>23440</v>
      </c>
      <c r="O9" s="49">
        <f t="shared" si="2"/>
        <v>23440</v>
      </c>
      <c r="P9" s="49">
        <f t="shared" si="2"/>
        <v>23440</v>
      </c>
      <c r="Q9" s="49">
        <f t="shared" si="2"/>
        <v>23440</v>
      </c>
      <c r="R9" s="49">
        <f t="shared" si="2"/>
        <v>23440</v>
      </c>
      <c r="S9" s="49">
        <f t="shared" si="2"/>
        <v>23440</v>
      </c>
      <c r="T9" s="49">
        <f t="shared" si="2"/>
        <v>23440</v>
      </c>
      <c r="U9" s="49">
        <f t="shared" ref="U9:AG18" si="3">$F9</f>
        <v>23440</v>
      </c>
      <c r="V9" s="49">
        <f t="shared" si="3"/>
        <v>23440</v>
      </c>
      <c r="W9" s="49">
        <f t="shared" si="3"/>
        <v>23440</v>
      </c>
      <c r="X9" s="49">
        <f t="shared" si="3"/>
        <v>23440</v>
      </c>
      <c r="Y9" s="49">
        <f t="shared" si="3"/>
        <v>23440</v>
      </c>
      <c r="Z9" s="49">
        <f t="shared" si="3"/>
        <v>23440</v>
      </c>
      <c r="AA9" s="49">
        <f t="shared" si="3"/>
        <v>23440</v>
      </c>
      <c r="AB9" s="49">
        <f t="shared" si="3"/>
        <v>23440</v>
      </c>
      <c r="AC9" s="49">
        <f t="shared" si="3"/>
        <v>23440</v>
      </c>
      <c r="AD9" s="49">
        <f t="shared" si="3"/>
        <v>23440</v>
      </c>
      <c r="AE9" s="49">
        <f t="shared" si="3"/>
        <v>23440</v>
      </c>
      <c r="AF9" s="49">
        <f t="shared" si="3"/>
        <v>23440</v>
      </c>
      <c r="AG9" s="183">
        <f t="shared" si="3"/>
        <v>23440</v>
      </c>
    </row>
    <row r="10" spans="1:33" ht="13.5" thickBot="1">
      <c r="A10" s="48" t="s">
        <v>278</v>
      </c>
      <c r="B10" s="394">
        <f>('Input Assumptions'!B$9/'EUI by End Use'!AE$3)*'EUI by End Use'!AG$3</f>
        <v>25.592997262845305</v>
      </c>
      <c r="C10" s="46"/>
      <c r="D10" s="46"/>
      <c r="E10" s="46"/>
      <c r="F10" s="394">
        <f>SUM(F11:F18)</f>
        <v>23.656759364214729</v>
      </c>
      <c r="G10" s="394">
        <f t="shared" ref="G10:G20" si="4">B10-F10</f>
        <v>1.9362378986305764</v>
      </c>
      <c r="H10" s="46"/>
      <c r="I10" s="46"/>
      <c r="J10" s="46"/>
      <c r="K10" s="325">
        <f t="shared" si="2"/>
        <v>23.656759364214729</v>
      </c>
      <c r="L10" s="53">
        <f t="shared" si="2"/>
        <v>23.656759364214729</v>
      </c>
      <c r="M10" s="53">
        <f t="shared" si="2"/>
        <v>23.656759364214729</v>
      </c>
      <c r="N10" s="53">
        <f t="shared" si="2"/>
        <v>23.656759364214729</v>
      </c>
      <c r="O10" s="53">
        <f t="shared" si="2"/>
        <v>23.656759364214729</v>
      </c>
      <c r="P10" s="53">
        <f t="shared" si="2"/>
        <v>23.656759364214729</v>
      </c>
      <c r="Q10" s="53">
        <f t="shared" si="2"/>
        <v>23.656759364214729</v>
      </c>
      <c r="R10" s="53">
        <f t="shared" si="2"/>
        <v>23.656759364214729</v>
      </c>
      <c r="S10" s="53">
        <f t="shared" si="2"/>
        <v>23.656759364214729</v>
      </c>
      <c r="T10" s="53">
        <f t="shared" si="2"/>
        <v>23.656759364214729</v>
      </c>
      <c r="U10" s="53">
        <f t="shared" si="3"/>
        <v>23.656759364214729</v>
      </c>
      <c r="V10" s="53">
        <f t="shared" si="3"/>
        <v>23.656759364214729</v>
      </c>
      <c r="W10" s="53">
        <f t="shared" si="3"/>
        <v>23.656759364214729</v>
      </c>
      <c r="X10" s="53">
        <f t="shared" si="3"/>
        <v>23.656759364214729</v>
      </c>
      <c r="Y10" s="53">
        <f t="shared" si="3"/>
        <v>23.656759364214729</v>
      </c>
      <c r="Z10" s="53">
        <f t="shared" si="3"/>
        <v>23.656759364214729</v>
      </c>
      <c r="AA10" s="53">
        <f t="shared" si="3"/>
        <v>23.656759364214729</v>
      </c>
      <c r="AB10" s="53">
        <f t="shared" si="3"/>
        <v>23.656759364214729</v>
      </c>
      <c r="AC10" s="53">
        <f t="shared" si="3"/>
        <v>23.656759364214729</v>
      </c>
      <c r="AD10" s="53">
        <f t="shared" si="3"/>
        <v>23.656759364214729</v>
      </c>
      <c r="AE10" s="53">
        <f t="shared" si="3"/>
        <v>23.656759364214729</v>
      </c>
      <c r="AF10" s="53">
        <f t="shared" si="3"/>
        <v>23.656759364214729</v>
      </c>
      <c r="AG10" s="326">
        <f t="shared" si="3"/>
        <v>23.656759364214729</v>
      </c>
    </row>
    <row r="11" spans="1:33">
      <c r="A11" s="396" t="s">
        <v>271</v>
      </c>
      <c r="B11" s="397">
        <f>('Input Assumptions'!B$9/'EUI by End Use'!AE$3)*'EUI by End Use'!AH$3</f>
        <v>3.6882356967616712</v>
      </c>
      <c r="C11" s="238"/>
      <c r="D11" s="238"/>
      <c r="E11" s="238"/>
      <c r="F11" s="397">
        <f>('Input Assumptions'!$B$9/'EUI by End Use'!AE$3)*'EUI by End Use'!AW$3</f>
        <v>2.8519565503167708</v>
      </c>
      <c r="G11" s="398">
        <f t="shared" si="4"/>
        <v>0.83627914644490042</v>
      </c>
      <c r="H11" s="311"/>
      <c r="I11" s="311"/>
      <c r="J11" s="46"/>
      <c r="K11" s="327">
        <f t="shared" si="2"/>
        <v>2.8519565503167708</v>
      </c>
      <c r="L11" s="320">
        <f t="shared" si="2"/>
        <v>2.8519565503167708</v>
      </c>
      <c r="M11" s="320">
        <f t="shared" si="2"/>
        <v>2.8519565503167708</v>
      </c>
      <c r="N11" s="320">
        <f t="shared" si="2"/>
        <v>2.8519565503167708</v>
      </c>
      <c r="O11" s="320">
        <f t="shared" si="2"/>
        <v>2.8519565503167708</v>
      </c>
      <c r="P11" s="320">
        <f t="shared" si="2"/>
        <v>2.8519565503167708</v>
      </c>
      <c r="Q11" s="320">
        <f t="shared" si="2"/>
        <v>2.8519565503167708</v>
      </c>
      <c r="R11" s="320">
        <f t="shared" si="2"/>
        <v>2.8519565503167708</v>
      </c>
      <c r="S11" s="320">
        <f t="shared" si="2"/>
        <v>2.8519565503167708</v>
      </c>
      <c r="T11" s="320">
        <f t="shared" si="2"/>
        <v>2.8519565503167708</v>
      </c>
      <c r="U11" s="320">
        <f t="shared" si="3"/>
        <v>2.8519565503167708</v>
      </c>
      <c r="V11" s="320">
        <f t="shared" si="3"/>
        <v>2.8519565503167708</v>
      </c>
      <c r="W11" s="320">
        <f t="shared" si="3"/>
        <v>2.8519565503167708</v>
      </c>
      <c r="X11" s="320">
        <f t="shared" si="3"/>
        <v>2.8519565503167708</v>
      </c>
      <c r="Y11" s="320">
        <f t="shared" si="3"/>
        <v>2.8519565503167708</v>
      </c>
      <c r="Z11" s="320">
        <f t="shared" si="3"/>
        <v>2.8519565503167708</v>
      </c>
      <c r="AA11" s="320">
        <f t="shared" si="3"/>
        <v>2.8519565503167708</v>
      </c>
      <c r="AB11" s="320">
        <f t="shared" si="3"/>
        <v>2.8519565503167708</v>
      </c>
      <c r="AC11" s="320">
        <f t="shared" si="3"/>
        <v>2.8519565503167708</v>
      </c>
      <c r="AD11" s="320">
        <f t="shared" si="3"/>
        <v>2.8519565503167708</v>
      </c>
      <c r="AE11" s="320">
        <f t="shared" si="3"/>
        <v>2.8519565503167708</v>
      </c>
      <c r="AF11" s="320">
        <f t="shared" si="3"/>
        <v>2.8519565503167708</v>
      </c>
      <c r="AG11" s="328">
        <f t="shared" si="3"/>
        <v>2.8519565503167708</v>
      </c>
    </row>
    <row r="12" spans="1:33">
      <c r="A12" s="48" t="s">
        <v>272</v>
      </c>
      <c r="B12" s="52">
        <f>('Input Assumptions'!B$9/'EUI by End Use'!AE$3)*'EUI by End Use'!AI$3</f>
        <v>5.6284064145770918</v>
      </c>
      <c r="C12" s="46"/>
      <c r="D12" s="46"/>
      <c r="E12" s="46"/>
      <c r="F12" s="52">
        <f>('Input Assumptions'!$B$9/'EUI by End Use'!AE$3)*'EUI by End Use'!AX$3</f>
        <v>4.8102681496237576</v>
      </c>
      <c r="G12" s="332">
        <f t="shared" si="4"/>
        <v>0.81813826495333419</v>
      </c>
      <c r="H12" s="311"/>
      <c r="I12" s="311"/>
      <c r="J12" s="46"/>
      <c r="K12" s="327">
        <f t="shared" si="2"/>
        <v>4.8102681496237576</v>
      </c>
      <c r="L12" s="320">
        <f t="shared" si="2"/>
        <v>4.8102681496237576</v>
      </c>
      <c r="M12" s="320">
        <f t="shared" si="2"/>
        <v>4.8102681496237576</v>
      </c>
      <c r="N12" s="320">
        <f t="shared" si="2"/>
        <v>4.8102681496237576</v>
      </c>
      <c r="O12" s="320">
        <f t="shared" si="2"/>
        <v>4.8102681496237576</v>
      </c>
      <c r="P12" s="320">
        <f t="shared" si="2"/>
        <v>4.8102681496237576</v>
      </c>
      <c r="Q12" s="320">
        <f t="shared" si="2"/>
        <v>4.8102681496237576</v>
      </c>
      <c r="R12" s="320">
        <f t="shared" si="2"/>
        <v>4.8102681496237576</v>
      </c>
      <c r="S12" s="320">
        <f t="shared" si="2"/>
        <v>4.8102681496237576</v>
      </c>
      <c r="T12" s="320">
        <f t="shared" si="2"/>
        <v>4.8102681496237576</v>
      </c>
      <c r="U12" s="320">
        <f t="shared" si="3"/>
        <v>4.8102681496237576</v>
      </c>
      <c r="V12" s="320">
        <f t="shared" si="3"/>
        <v>4.8102681496237576</v>
      </c>
      <c r="W12" s="320">
        <f t="shared" si="3"/>
        <v>4.8102681496237576</v>
      </c>
      <c r="X12" s="320">
        <f t="shared" si="3"/>
        <v>4.8102681496237576</v>
      </c>
      <c r="Y12" s="320">
        <f t="shared" si="3"/>
        <v>4.8102681496237576</v>
      </c>
      <c r="Z12" s="320">
        <f t="shared" si="3"/>
        <v>4.8102681496237576</v>
      </c>
      <c r="AA12" s="320">
        <f t="shared" si="3"/>
        <v>4.8102681496237576</v>
      </c>
      <c r="AB12" s="320">
        <f t="shared" si="3"/>
        <v>4.8102681496237576</v>
      </c>
      <c r="AC12" s="320">
        <f t="shared" si="3"/>
        <v>4.8102681496237576</v>
      </c>
      <c r="AD12" s="320">
        <f t="shared" si="3"/>
        <v>4.8102681496237576</v>
      </c>
      <c r="AE12" s="320">
        <f t="shared" si="3"/>
        <v>4.8102681496237576</v>
      </c>
      <c r="AF12" s="320">
        <f t="shared" si="3"/>
        <v>4.8102681496237576</v>
      </c>
      <c r="AG12" s="328">
        <f t="shared" si="3"/>
        <v>4.8102681496237576</v>
      </c>
    </row>
    <row r="13" spans="1:33" ht="13.5" thickBot="1">
      <c r="A13" s="399" t="s">
        <v>273</v>
      </c>
      <c r="B13" s="400">
        <f>('Input Assumptions'!B$9/'EUI by End Use'!AE$3)*'EUI by End Use'!AJ$3</f>
        <v>5.6272274293947655</v>
      </c>
      <c r="C13" s="64"/>
      <c r="D13" s="64"/>
      <c r="E13" s="64"/>
      <c r="F13" s="400">
        <f>('Input Assumptions'!$B$9/'EUI by End Use'!AE$3)*'EUI by End Use'!AY$3</f>
        <v>5.3454069421624206</v>
      </c>
      <c r="G13" s="401">
        <f t="shared" si="4"/>
        <v>0.28182048723234487</v>
      </c>
      <c r="H13" s="311"/>
      <c r="I13" s="311"/>
      <c r="J13" s="46"/>
      <c r="K13" s="327">
        <f t="shared" si="2"/>
        <v>5.3454069421624206</v>
      </c>
      <c r="L13" s="320">
        <f t="shared" si="2"/>
        <v>5.3454069421624206</v>
      </c>
      <c r="M13" s="320">
        <f t="shared" si="2"/>
        <v>5.3454069421624206</v>
      </c>
      <c r="N13" s="320">
        <f t="shared" si="2"/>
        <v>5.3454069421624206</v>
      </c>
      <c r="O13" s="320">
        <f t="shared" si="2"/>
        <v>5.3454069421624206</v>
      </c>
      <c r="P13" s="320">
        <f t="shared" si="2"/>
        <v>5.3454069421624206</v>
      </c>
      <c r="Q13" s="320">
        <f t="shared" si="2"/>
        <v>5.3454069421624206</v>
      </c>
      <c r="R13" s="320">
        <f t="shared" si="2"/>
        <v>5.3454069421624206</v>
      </c>
      <c r="S13" s="320">
        <f t="shared" si="2"/>
        <v>5.3454069421624206</v>
      </c>
      <c r="T13" s="320">
        <f t="shared" si="2"/>
        <v>5.3454069421624206</v>
      </c>
      <c r="U13" s="320">
        <f t="shared" si="3"/>
        <v>5.3454069421624206</v>
      </c>
      <c r="V13" s="320">
        <f t="shared" si="3"/>
        <v>5.3454069421624206</v>
      </c>
      <c r="W13" s="320">
        <f t="shared" si="3"/>
        <v>5.3454069421624206</v>
      </c>
      <c r="X13" s="320">
        <f t="shared" si="3"/>
        <v>5.3454069421624206</v>
      </c>
      <c r="Y13" s="320">
        <f t="shared" si="3"/>
        <v>5.3454069421624206</v>
      </c>
      <c r="Z13" s="320">
        <f t="shared" si="3"/>
        <v>5.3454069421624206</v>
      </c>
      <c r="AA13" s="320">
        <f t="shared" si="3"/>
        <v>5.3454069421624206</v>
      </c>
      <c r="AB13" s="320">
        <f t="shared" si="3"/>
        <v>5.3454069421624206</v>
      </c>
      <c r="AC13" s="320">
        <f t="shared" si="3"/>
        <v>5.3454069421624206</v>
      </c>
      <c r="AD13" s="320">
        <f t="shared" si="3"/>
        <v>5.3454069421624206</v>
      </c>
      <c r="AE13" s="320">
        <f t="shared" si="3"/>
        <v>5.3454069421624206</v>
      </c>
      <c r="AF13" s="320">
        <f t="shared" si="3"/>
        <v>5.3454069421624206</v>
      </c>
      <c r="AG13" s="328">
        <f t="shared" si="3"/>
        <v>5.3454069421624206</v>
      </c>
    </row>
    <row r="14" spans="1:33">
      <c r="A14" s="44" t="s">
        <v>274</v>
      </c>
      <c r="B14" s="395">
        <f>('Input Assumptions'!B$9/'EUI by End Use'!AE$3)*'EUI by End Use'!AK$3</f>
        <v>4.7444343055011418</v>
      </c>
      <c r="C14" s="46"/>
      <c r="D14" s="46"/>
      <c r="E14" s="46"/>
      <c r="F14" s="395">
        <f>('Input Assumptions'!$B$9/'EUI by End Use'!AE$3)*'EUI by End Use'!AZ$3</f>
        <v>4.7444343055011418</v>
      </c>
      <c r="G14" s="395">
        <f t="shared" si="4"/>
        <v>0</v>
      </c>
      <c r="H14" s="46"/>
      <c r="I14" s="46"/>
      <c r="J14" s="46"/>
      <c r="K14" s="325">
        <f t="shared" si="2"/>
        <v>4.7444343055011418</v>
      </c>
      <c r="L14" s="53">
        <f t="shared" si="2"/>
        <v>4.7444343055011418</v>
      </c>
      <c r="M14" s="53">
        <f t="shared" si="2"/>
        <v>4.7444343055011418</v>
      </c>
      <c r="N14" s="53">
        <f t="shared" si="2"/>
        <v>4.7444343055011418</v>
      </c>
      <c r="O14" s="53">
        <f t="shared" si="2"/>
        <v>4.7444343055011418</v>
      </c>
      <c r="P14" s="53">
        <f t="shared" si="2"/>
        <v>4.7444343055011418</v>
      </c>
      <c r="Q14" s="53">
        <f t="shared" si="2"/>
        <v>4.7444343055011418</v>
      </c>
      <c r="R14" s="53">
        <f t="shared" si="2"/>
        <v>4.7444343055011418</v>
      </c>
      <c r="S14" s="53">
        <f t="shared" si="2"/>
        <v>4.7444343055011418</v>
      </c>
      <c r="T14" s="53">
        <f t="shared" si="2"/>
        <v>4.7444343055011418</v>
      </c>
      <c r="U14" s="53">
        <f t="shared" si="3"/>
        <v>4.7444343055011418</v>
      </c>
      <c r="V14" s="53">
        <f t="shared" si="3"/>
        <v>4.7444343055011418</v>
      </c>
      <c r="W14" s="53">
        <f t="shared" si="3"/>
        <v>4.7444343055011418</v>
      </c>
      <c r="X14" s="53">
        <f t="shared" si="3"/>
        <v>4.7444343055011418</v>
      </c>
      <c r="Y14" s="53">
        <f t="shared" si="3"/>
        <v>4.7444343055011418</v>
      </c>
      <c r="Z14" s="53">
        <f t="shared" si="3"/>
        <v>4.7444343055011418</v>
      </c>
      <c r="AA14" s="53">
        <f t="shared" si="3"/>
        <v>4.7444343055011418</v>
      </c>
      <c r="AB14" s="53">
        <f t="shared" si="3"/>
        <v>4.7444343055011418</v>
      </c>
      <c r="AC14" s="53">
        <f t="shared" si="3"/>
        <v>4.7444343055011418</v>
      </c>
      <c r="AD14" s="53">
        <f t="shared" si="3"/>
        <v>4.7444343055011418</v>
      </c>
      <c r="AE14" s="53">
        <f t="shared" si="3"/>
        <v>4.7444343055011418</v>
      </c>
      <c r="AF14" s="53">
        <f t="shared" si="3"/>
        <v>4.7444343055011418</v>
      </c>
      <c r="AG14" s="326">
        <f t="shared" si="3"/>
        <v>4.7444343055011418</v>
      </c>
    </row>
    <row r="15" spans="1:33">
      <c r="A15" s="48" t="s">
        <v>275</v>
      </c>
      <c r="B15" s="52">
        <f>('Input Assumptions'!B$9/'EUI by End Use'!AE$3)*'EUI by End Use'!AL$3</f>
        <v>0.30148458315655136</v>
      </c>
      <c r="C15" s="46"/>
      <c r="D15" s="46"/>
      <c r="E15" s="46"/>
      <c r="F15" s="52">
        <f>('Input Assumptions'!$B$9/'EUI by End Use'!AE$3)*'EUI by End Use'!BA$3</f>
        <v>0.30148458315655136</v>
      </c>
      <c r="G15" s="52">
        <f t="shared" si="4"/>
        <v>0</v>
      </c>
      <c r="H15" s="46"/>
      <c r="I15" s="46"/>
      <c r="J15" s="46"/>
      <c r="K15" s="325">
        <f t="shared" si="2"/>
        <v>0.30148458315655136</v>
      </c>
      <c r="L15" s="53">
        <f t="shared" si="2"/>
        <v>0.30148458315655136</v>
      </c>
      <c r="M15" s="53">
        <f t="shared" si="2"/>
        <v>0.30148458315655136</v>
      </c>
      <c r="N15" s="53">
        <f t="shared" si="2"/>
        <v>0.30148458315655136</v>
      </c>
      <c r="O15" s="53">
        <f t="shared" si="2"/>
        <v>0.30148458315655136</v>
      </c>
      <c r="P15" s="53">
        <f t="shared" si="2"/>
        <v>0.30148458315655136</v>
      </c>
      <c r="Q15" s="53">
        <f t="shared" si="2"/>
        <v>0.30148458315655136</v>
      </c>
      <c r="R15" s="53">
        <f t="shared" si="2"/>
        <v>0.30148458315655136</v>
      </c>
      <c r="S15" s="53">
        <f t="shared" si="2"/>
        <v>0.30148458315655136</v>
      </c>
      <c r="T15" s="53">
        <f t="shared" si="2"/>
        <v>0.30148458315655136</v>
      </c>
      <c r="U15" s="53">
        <f t="shared" si="3"/>
        <v>0.30148458315655136</v>
      </c>
      <c r="V15" s="53">
        <f t="shared" si="3"/>
        <v>0.30148458315655136</v>
      </c>
      <c r="W15" s="53">
        <f t="shared" si="3"/>
        <v>0.30148458315655136</v>
      </c>
      <c r="X15" s="53">
        <f t="shared" si="3"/>
        <v>0.30148458315655136</v>
      </c>
      <c r="Y15" s="53">
        <f t="shared" si="3"/>
        <v>0.30148458315655136</v>
      </c>
      <c r="Z15" s="53">
        <f t="shared" si="3"/>
        <v>0.30148458315655136</v>
      </c>
      <c r="AA15" s="53">
        <f t="shared" si="3"/>
        <v>0.30148458315655136</v>
      </c>
      <c r="AB15" s="53">
        <f t="shared" si="3"/>
        <v>0.30148458315655136</v>
      </c>
      <c r="AC15" s="53">
        <f t="shared" si="3"/>
        <v>0.30148458315655136</v>
      </c>
      <c r="AD15" s="53">
        <f t="shared" si="3"/>
        <v>0.30148458315655136</v>
      </c>
      <c r="AE15" s="53">
        <f t="shared" si="3"/>
        <v>0.30148458315655136</v>
      </c>
      <c r="AF15" s="53">
        <f t="shared" si="3"/>
        <v>0.30148458315655136</v>
      </c>
      <c r="AG15" s="326">
        <f t="shared" si="3"/>
        <v>0.30148458315655136</v>
      </c>
    </row>
    <row r="16" spans="1:33">
      <c r="A16" s="48" t="s">
        <v>276</v>
      </c>
      <c r="B16" s="52">
        <f>('Input Assumptions'!B$9/'EUI by End Use'!AE$3)*'EUI by End Use'!AM$3</f>
        <v>0.94135512510335062</v>
      </c>
      <c r="C16" s="46"/>
      <c r="D16" s="46"/>
      <c r="E16" s="46"/>
      <c r="F16" s="52">
        <f>('Input Assumptions'!$B$9/'EUI by End Use'!AE$3)*'EUI by End Use'!BB$3</f>
        <v>0.94135512510335062</v>
      </c>
      <c r="G16" s="52">
        <f t="shared" si="4"/>
        <v>0</v>
      </c>
      <c r="H16" s="46"/>
      <c r="I16" s="46"/>
      <c r="J16" s="46"/>
      <c r="K16" s="325">
        <f t="shared" si="2"/>
        <v>0.94135512510335062</v>
      </c>
      <c r="L16" s="53">
        <f t="shared" si="2"/>
        <v>0.94135512510335062</v>
      </c>
      <c r="M16" s="53">
        <f t="shared" si="2"/>
        <v>0.94135512510335062</v>
      </c>
      <c r="N16" s="53">
        <f t="shared" si="2"/>
        <v>0.94135512510335062</v>
      </c>
      <c r="O16" s="53">
        <f t="shared" si="2"/>
        <v>0.94135512510335062</v>
      </c>
      <c r="P16" s="53">
        <f t="shared" si="2"/>
        <v>0.94135512510335062</v>
      </c>
      <c r="Q16" s="53">
        <f t="shared" si="2"/>
        <v>0.94135512510335062</v>
      </c>
      <c r="R16" s="53">
        <f t="shared" si="2"/>
        <v>0.94135512510335062</v>
      </c>
      <c r="S16" s="53">
        <f t="shared" si="2"/>
        <v>0.94135512510335062</v>
      </c>
      <c r="T16" s="53">
        <f t="shared" si="2"/>
        <v>0.94135512510335062</v>
      </c>
      <c r="U16" s="53">
        <f t="shared" si="3"/>
        <v>0.94135512510335062</v>
      </c>
      <c r="V16" s="53">
        <f t="shared" si="3"/>
        <v>0.94135512510335062</v>
      </c>
      <c r="W16" s="53">
        <f t="shared" si="3"/>
        <v>0.94135512510335062</v>
      </c>
      <c r="X16" s="53">
        <f t="shared" si="3"/>
        <v>0.94135512510335062</v>
      </c>
      <c r="Y16" s="53">
        <f t="shared" si="3"/>
        <v>0.94135512510335062</v>
      </c>
      <c r="Z16" s="53">
        <f t="shared" si="3"/>
        <v>0.94135512510335062</v>
      </c>
      <c r="AA16" s="53">
        <f t="shared" si="3"/>
        <v>0.94135512510335062</v>
      </c>
      <c r="AB16" s="53">
        <f t="shared" si="3"/>
        <v>0.94135512510335062</v>
      </c>
      <c r="AC16" s="53">
        <f t="shared" si="3"/>
        <v>0.94135512510335062</v>
      </c>
      <c r="AD16" s="53">
        <f t="shared" si="3"/>
        <v>0.94135512510335062</v>
      </c>
      <c r="AE16" s="53">
        <f t="shared" si="3"/>
        <v>0.94135512510335062</v>
      </c>
      <c r="AF16" s="53">
        <f t="shared" si="3"/>
        <v>0.94135512510335062</v>
      </c>
      <c r="AG16" s="326">
        <f t="shared" si="3"/>
        <v>0.94135512510335062</v>
      </c>
    </row>
    <row r="17" spans="1:33">
      <c r="A17" s="48" t="s">
        <v>277</v>
      </c>
      <c r="B17" s="52">
        <f>('Input Assumptions'!B$9/'EUI by End Use'!AE$3)*'EUI by End Use'!AN$3</f>
        <v>0.57899359902870939</v>
      </c>
      <c r="C17" s="46"/>
      <c r="D17" s="46"/>
      <c r="E17" s="46"/>
      <c r="F17" s="52">
        <f>('Input Assumptions'!$B$9/'EUI by End Use'!AE$3)*'EUI by End Use'!BC$3</f>
        <v>0.57899359902870939</v>
      </c>
      <c r="G17" s="52">
        <f t="shared" si="4"/>
        <v>0</v>
      </c>
      <c r="H17" s="46"/>
      <c r="I17" s="46"/>
      <c r="J17" s="46"/>
      <c r="K17" s="325">
        <f t="shared" si="2"/>
        <v>0.57899359902870939</v>
      </c>
      <c r="L17" s="53">
        <f t="shared" si="2"/>
        <v>0.57899359902870939</v>
      </c>
      <c r="M17" s="53">
        <f t="shared" si="2"/>
        <v>0.57899359902870939</v>
      </c>
      <c r="N17" s="53">
        <f t="shared" si="2"/>
        <v>0.57899359902870939</v>
      </c>
      <c r="O17" s="53">
        <f t="shared" si="2"/>
        <v>0.57899359902870939</v>
      </c>
      <c r="P17" s="53">
        <f t="shared" si="2"/>
        <v>0.57899359902870939</v>
      </c>
      <c r="Q17" s="53">
        <f t="shared" si="2"/>
        <v>0.57899359902870939</v>
      </c>
      <c r="R17" s="53">
        <f t="shared" si="2"/>
        <v>0.57899359902870939</v>
      </c>
      <c r="S17" s="53">
        <f t="shared" si="2"/>
        <v>0.57899359902870939</v>
      </c>
      <c r="T17" s="53">
        <f t="shared" si="2"/>
        <v>0.57899359902870939</v>
      </c>
      <c r="U17" s="53">
        <f t="shared" si="3"/>
        <v>0.57899359902870939</v>
      </c>
      <c r="V17" s="53">
        <f t="shared" si="3"/>
        <v>0.57899359902870939</v>
      </c>
      <c r="W17" s="53">
        <f t="shared" si="3"/>
        <v>0.57899359902870939</v>
      </c>
      <c r="X17" s="53">
        <f t="shared" si="3"/>
        <v>0.57899359902870939</v>
      </c>
      <c r="Y17" s="53">
        <f t="shared" si="3"/>
        <v>0.57899359902870939</v>
      </c>
      <c r="Z17" s="53">
        <f t="shared" si="3"/>
        <v>0.57899359902870939</v>
      </c>
      <c r="AA17" s="53">
        <f t="shared" si="3"/>
        <v>0.57899359902870939</v>
      </c>
      <c r="AB17" s="53">
        <f t="shared" si="3"/>
        <v>0.57899359902870939</v>
      </c>
      <c r="AC17" s="53">
        <f t="shared" si="3"/>
        <v>0.57899359902870939</v>
      </c>
      <c r="AD17" s="53">
        <f t="shared" si="3"/>
        <v>0.57899359902870939</v>
      </c>
      <c r="AE17" s="53">
        <f t="shared" si="3"/>
        <v>0.57899359902870939</v>
      </c>
      <c r="AF17" s="53">
        <f t="shared" si="3"/>
        <v>0.57899359902870939</v>
      </c>
      <c r="AG17" s="326">
        <f t="shared" si="3"/>
        <v>0.57899359902870939</v>
      </c>
    </row>
    <row r="18" spans="1:33">
      <c r="A18" s="48" t="s">
        <v>76</v>
      </c>
      <c r="B18" s="52">
        <f>B10-(SUM(B11:B17))</f>
        <v>4.0828601093220271</v>
      </c>
      <c r="C18" s="46"/>
      <c r="D18" s="46"/>
      <c r="E18" s="46"/>
      <c r="F18" s="52">
        <f>B18</f>
        <v>4.0828601093220271</v>
      </c>
      <c r="G18" s="52">
        <f t="shared" si="4"/>
        <v>0</v>
      </c>
      <c r="H18" s="46"/>
      <c r="I18" s="46"/>
      <c r="J18" s="46"/>
      <c r="K18" s="325">
        <f t="shared" si="2"/>
        <v>4.0828601093220271</v>
      </c>
      <c r="L18" s="53">
        <f t="shared" si="2"/>
        <v>4.0828601093220271</v>
      </c>
      <c r="M18" s="53">
        <f t="shared" si="2"/>
        <v>4.0828601093220271</v>
      </c>
      <c r="N18" s="53">
        <f t="shared" si="2"/>
        <v>4.0828601093220271</v>
      </c>
      <c r="O18" s="53">
        <f t="shared" si="2"/>
        <v>4.0828601093220271</v>
      </c>
      <c r="P18" s="53">
        <f t="shared" si="2"/>
        <v>4.0828601093220271</v>
      </c>
      <c r="Q18" s="53">
        <f t="shared" si="2"/>
        <v>4.0828601093220271</v>
      </c>
      <c r="R18" s="53">
        <f t="shared" si="2"/>
        <v>4.0828601093220271</v>
      </c>
      <c r="S18" s="53">
        <f t="shared" si="2"/>
        <v>4.0828601093220271</v>
      </c>
      <c r="T18" s="53">
        <f t="shared" si="2"/>
        <v>4.0828601093220271</v>
      </c>
      <c r="U18" s="53">
        <f t="shared" si="3"/>
        <v>4.0828601093220271</v>
      </c>
      <c r="V18" s="53">
        <f t="shared" si="3"/>
        <v>4.0828601093220271</v>
      </c>
      <c r="W18" s="53">
        <f t="shared" si="3"/>
        <v>4.0828601093220271</v>
      </c>
      <c r="X18" s="53">
        <f t="shared" si="3"/>
        <v>4.0828601093220271</v>
      </c>
      <c r="Y18" s="53">
        <f t="shared" si="3"/>
        <v>4.0828601093220271</v>
      </c>
      <c r="Z18" s="53">
        <f t="shared" si="3"/>
        <v>4.0828601093220271</v>
      </c>
      <c r="AA18" s="53">
        <f t="shared" si="3"/>
        <v>4.0828601093220271</v>
      </c>
      <c r="AB18" s="53">
        <f t="shared" si="3"/>
        <v>4.0828601093220271</v>
      </c>
      <c r="AC18" s="53">
        <f t="shared" si="3"/>
        <v>4.0828601093220271</v>
      </c>
      <c r="AD18" s="53">
        <f t="shared" si="3"/>
        <v>4.0828601093220271</v>
      </c>
      <c r="AE18" s="53">
        <f t="shared" si="3"/>
        <v>4.0828601093220271</v>
      </c>
      <c r="AF18" s="53">
        <f t="shared" si="3"/>
        <v>4.0828601093220271</v>
      </c>
      <c r="AG18" s="326">
        <f t="shared" si="3"/>
        <v>4.0828601093220271</v>
      </c>
    </row>
    <row r="19" spans="1:33">
      <c r="A19" s="48" t="s">
        <v>21</v>
      </c>
      <c r="B19" s="49">
        <f>(B8/1000)*B10</f>
        <v>337404807.02229685</v>
      </c>
      <c r="C19" s="46"/>
      <c r="D19" s="46"/>
      <c r="E19" s="46"/>
      <c r="F19" s="49">
        <f>(F8/1000)*F10</f>
        <v>311878450.42454374</v>
      </c>
      <c r="G19" s="38">
        <f t="shared" si="4"/>
        <v>25526356.597753108</v>
      </c>
      <c r="H19" s="46"/>
      <c r="I19" s="46"/>
      <c r="J19" s="46"/>
      <c r="K19" s="182">
        <f t="shared" ref="K19:AF19" si="5">(K8/1000)*K10</f>
        <v>311875611.61342007</v>
      </c>
      <c r="L19" s="49">
        <f t="shared" si="5"/>
        <v>308327754.29912704</v>
      </c>
      <c r="M19" s="49">
        <f t="shared" si="5"/>
        <v>312135819.19644129</v>
      </c>
      <c r="N19" s="49">
        <f t="shared" ca="1" si="5"/>
        <v>316559936.46532035</v>
      </c>
      <c r="O19" s="49">
        <f t="shared" ca="1" si="5"/>
        <v>321619999.09568489</v>
      </c>
      <c r="P19" s="49">
        <f t="shared" ca="1" si="5"/>
        <v>325885533.07932776</v>
      </c>
      <c r="Q19" s="49">
        <f t="shared" ca="1" si="5"/>
        <v>331636560.56249803</v>
      </c>
      <c r="R19" s="49">
        <f t="shared" ca="1" si="5"/>
        <v>337488394.67637891</v>
      </c>
      <c r="S19" s="49">
        <f t="shared" ca="1" si="5"/>
        <v>343900684.48805201</v>
      </c>
      <c r="T19" s="49">
        <f t="shared" ca="1" si="5"/>
        <v>350148025.76562214</v>
      </c>
      <c r="U19" s="49">
        <f t="shared" ca="1" si="5"/>
        <v>357298521.59198564</v>
      </c>
      <c r="V19" s="49">
        <f t="shared" ca="1" si="5"/>
        <v>365001634.30511731</v>
      </c>
      <c r="W19" s="49">
        <f t="shared" ca="1" si="5"/>
        <v>373191812.24453408</v>
      </c>
      <c r="X19" s="49">
        <f t="shared" ca="1" si="5"/>
        <v>382948418.1378656</v>
      </c>
      <c r="Y19" s="49">
        <f t="shared" ca="1" si="5"/>
        <v>391502538.90247422</v>
      </c>
      <c r="Z19" s="49">
        <f t="shared" ca="1" si="5"/>
        <v>400706952.1193096</v>
      </c>
      <c r="AA19" s="49">
        <f t="shared" ca="1" si="5"/>
        <v>408363579.09575349</v>
      </c>
      <c r="AB19" s="49">
        <f t="shared" ca="1" si="5"/>
        <v>416392251.2929371</v>
      </c>
      <c r="AC19" s="49">
        <f t="shared" ca="1" si="5"/>
        <v>424815730.40636361</v>
      </c>
      <c r="AD19" s="49">
        <f t="shared" ca="1" si="5"/>
        <v>432592354.26643783</v>
      </c>
      <c r="AE19" s="49">
        <f t="shared" ca="1" si="5"/>
        <v>439822190.54514581</v>
      </c>
      <c r="AF19" s="49">
        <f t="shared" ca="1" si="5"/>
        <v>448025577.68370646</v>
      </c>
      <c r="AG19" s="183">
        <f t="shared" ref="AG19" ca="1" si="6">(AG8/1000)*AG10</f>
        <v>453612550.24071866</v>
      </c>
    </row>
    <row r="20" spans="1:33" ht="13.5" thickBot="1">
      <c r="A20" s="48" t="s">
        <v>22</v>
      </c>
      <c r="B20" s="54">
        <f>B19/8760000</f>
        <v>38.516530481997357</v>
      </c>
      <c r="C20" s="46"/>
      <c r="D20" s="46"/>
      <c r="E20" s="46"/>
      <c r="F20" s="54">
        <f>F19/8760000</f>
        <v>35.602562833852026</v>
      </c>
      <c r="G20" s="55">
        <f t="shared" si="4"/>
        <v>2.9139676481453307</v>
      </c>
      <c r="H20" s="46"/>
      <c r="I20" s="46"/>
      <c r="J20" s="46"/>
      <c r="K20" s="329">
        <f t="shared" ref="K20:AF20" si="7">K19/8760000</f>
        <v>35.602238768655262</v>
      </c>
      <c r="L20" s="56">
        <f t="shared" si="7"/>
        <v>35.197232225927742</v>
      </c>
      <c r="M20" s="56">
        <f t="shared" si="7"/>
        <v>35.631942830643986</v>
      </c>
      <c r="N20" s="56">
        <f t="shared" ca="1" si="7"/>
        <v>36.136979048552554</v>
      </c>
      <c r="O20" s="56">
        <f t="shared" ca="1" si="7"/>
        <v>36.714611768913798</v>
      </c>
      <c r="P20" s="56">
        <f t="shared" ca="1" si="7"/>
        <v>37.201544872069377</v>
      </c>
      <c r="Q20" s="56">
        <f t="shared" ca="1" si="7"/>
        <v>37.85805485873265</v>
      </c>
      <c r="R20" s="56">
        <f t="shared" ca="1" si="7"/>
        <v>38.526072451641426</v>
      </c>
      <c r="S20" s="56">
        <f t="shared" ca="1" si="7"/>
        <v>39.258069005485389</v>
      </c>
      <c r="T20" s="56">
        <f t="shared" ca="1" si="7"/>
        <v>39.971235817993396</v>
      </c>
      <c r="U20" s="56">
        <f t="shared" ca="1" si="7"/>
        <v>40.787502464838546</v>
      </c>
      <c r="V20" s="56">
        <f t="shared" ca="1" si="7"/>
        <v>41.666853231177775</v>
      </c>
      <c r="W20" s="56">
        <f t="shared" ca="1" si="7"/>
        <v>42.601805050745902</v>
      </c>
      <c r="X20" s="56">
        <f t="shared" ca="1" si="7"/>
        <v>43.715572846788312</v>
      </c>
      <c r="Y20" s="56">
        <f t="shared" ca="1" si="7"/>
        <v>44.692070650967381</v>
      </c>
      <c r="Z20" s="56">
        <f t="shared" ca="1" si="7"/>
        <v>45.742802753345842</v>
      </c>
      <c r="AA20" s="56">
        <f t="shared" ca="1" si="7"/>
        <v>46.61684692873898</v>
      </c>
      <c r="AB20" s="56">
        <f t="shared" ca="1" si="7"/>
        <v>47.533362019741681</v>
      </c>
      <c r="AC20" s="56">
        <f t="shared" ca="1" si="7"/>
        <v>48.494946393420506</v>
      </c>
      <c r="AD20" s="56">
        <f t="shared" ca="1" si="7"/>
        <v>49.382688843200668</v>
      </c>
      <c r="AE20" s="56">
        <f t="shared" ca="1" si="7"/>
        <v>50.208012619308882</v>
      </c>
      <c r="AF20" s="56">
        <f t="shared" ca="1" si="7"/>
        <v>51.144472338322657</v>
      </c>
      <c r="AG20" s="330">
        <f t="shared" ref="AG20" ca="1" si="8">AG19/8760000</f>
        <v>51.782254593689345</v>
      </c>
    </row>
    <row r="21" spans="1:33" ht="13.5" thickBot="1">
      <c r="A21" s="667" t="s">
        <v>23</v>
      </c>
      <c r="B21" s="668"/>
      <c r="C21" s="668"/>
      <c r="D21" s="668"/>
      <c r="E21" s="668"/>
      <c r="F21" s="668"/>
      <c r="G21" s="668"/>
      <c r="H21" s="668"/>
      <c r="I21" s="668"/>
      <c r="J21" s="669"/>
      <c r="K21" s="343">
        <v>2013</v>
      </c>
      <c r="L21" s="344">
        <v>2014</v>
      </c>
      <c r="M21" s="344">
        <v>2015</v>
      </c>
      <c r="N21" s="344">
        <v>2016</v>
      </c>
      <c r="O21" s="344">
        <v>2017</v>
      </c>
      <c r="P21" s="344">
        <v>2018</v>
      </c>
      <c r="Q21" s="344">
        <v>2019</v>
      </c>
      <c r="R21" s="344">
        <v>2020</v>
      </c>
      <c r="S21" s="344">
        <v>2021</v>
      </c>
      <c r="T21" s="344">
        <v>2022</v>
      </c>
      <c r="U21" s="344">
        <v>2023</v>
      </c>
      <c r="V21" s="344">
        <v>2024</v>
      </c>
      <c r="W21" s="344">
        <v>2025</v>
      </c>
      <c r="X21" s="344">
        <v>2026</v>
      </c>
      <c r="Y21" s="344">
        <v>2027</v>
      </c>
      <c r="Z21" s="344">
        <v>2028</v>
      </c>
      <c r="AA21" s="344">
        <v>2029</v>
      </c>
      <c r="AB21" s="344">
        <v>2030</v>
      </c>
      <c r="AC21" s="344">
        <v>2031</v>
      </c>
      <c r="AD21" s="344">
        <v>2032</v>
      </c>
      <c r="AE21" s="344">
        <v>2033</v>
      </c>
      <c r="AF21" s="344">
        <v>2034</v>
      </c>
      <c r="AG21" s="344">
        <v>2035</v>
      </c>
    </row>
    <row r="22" spans="1:33">
      <c r="A22" s="44" t="s">
        <v>9</v>
      </c>
      <c r="B22" s="45">
        <f>C5*B3</f>
        <v>10671</v>
      </c>
      <c r="C22" s="46"/>
      <c r="D22" s="46"/>
      <c r="E22" s="46"/>
      <c r="F22" s="45">
        <f>B22</f>
        <v>10671</v>
      </c>
      <c r="G22" s="46"/>
      <c r="H22" s="46"/>
      <c r="I22" s="46"/>
      <c r="J22" s="57"/>
      <c r="K22" s="182">
        <f t="shared" ref="K22:T35" si="9">$F22</f>
        <v>10671</v>
      </c>
      <c r="L22" s="49">
        <f t="shared" si="9"/>
        <v>10671</v>
      </c>
      <c r="M22" s="49">
        <f t="shared" si="9"/>
        <v>10671</v>
      </c>
      <c r="N22" s="49">
        <f t="shared" si="9"/>
        <v>10671</v>
      </c>
      <c r="O22" s="49">
        <f t="shared" si="9"/>
        <v>10671</v>
      </c>
      <c r="P22" s="49">
        <f t="shared" si="9"/>
        <v>10671</v>
      </c>
      <c r="Q22" s="49">
        <f t="shared" si="9"/>
        <v>10671</v>
      </c>
      <c r="R22" s="49">
        <f t="shared" si="9"/>
        <v>10671</v>
      </c>
      <c r="S22" s="49">
        <f t="shared" si="9"/>
        <v>10671</v>
      </c>
      <c r="T22" s="49">
        <f t="shared" si="9"/>
        <v>10671</v>
      </c>
      <c r="U22" s="49">
        <f t="shared" ref="U22:AG35" si="10">$F22</f>
        <v>10671</v>
      </c>
      <c r="V22" s="49">
        <f t="shared" si="10"/>
        <v>10671</v>
      </c>
      <c r="W22" s="49">
        <f t="shared" si="10"/>
        <v>10671</v>
      </c>
      <c r="X22" s="49">
        <f t="shared" si="10"/>
        <v>10671</v>
      </c>
      <c r="Y22" s="49">
        <f t="shared" si="10"/>
        <v>10671</v>
      </c>
      <c r="Z22" s="49">
        <f t="shared" si="10"/>
        <v>10671</v>
      </c>
      <c r="AA22" s="49">
        <f t="shared" si="10"/>
        <v>10671</v>
      </c>
      <c r="AB22" s="49">
        <f t="shared" si="10"/>
        <v>10671</v>
      </c>
      <c r="AC22" s="49">
        <f t="shared" si="10"/>
        <v>10671</v>
      </c>
      <c r="AD22" s="49">
        <f t="shared" si="10"/>
        <v>10671</v>
      </c>
      <c r="AE22" s="49">
        <f t="shared" si="10"/>
        <v>10671</v>
      </c>
      <c r="AF22" s="49">
        <f t="shared" si="10"/>
        <v>10671</v>
      </c>
      <c r="AG22" s="183">
        <f t="shared" si="10"/>
        <v>10671</v>
      </c>
    </row>
    <row r="23" spans="1:33">
      <c r="A23" s="48" t="s">
        <v>3</v>
      </c>
      <c r="B23" s="49">
        <f>D3*C5</f>
        <v>247638457.87812242</v>
      </c>
      <c r="C23" s="46"/>
      <c r="D23" s="46"/>
      <c r="E23" s="46"/>
      <c r="F23" s="49">
        <f>B23</f>
        <v>247638457.87812242</v>
      </c>
      <c r="G23" s="46"/>
      <c r="H23" s="46"/>
      <c r="I23" s="46"/>
      <c r="J23" s="57"/>
      <c r="K23" s="182">
        <f>$F23</f>
        <v>247638457.87812242</v>
      </c>
      <c r="L23" s="49">
        <f>$F23</f>
        <v>247638457.87812242</v>
      </c>
      <c r="M23" s="49">
        <f t="shared" si="9"/>
        <v>247638457.87812242</v>
      </c>
      <c r="N23" s="49">
        <f t="shared" si="9"/>
        <v>247638457.87812242</v>
      </c>
      <c r="O23" s="49">
        <f t="shared" si="9"/>
        <v>247638457.87812242</v>
      </c>
      <c r="P23" s="49">
        <f t="shared" si="9"/>
        <v>247638457.87812242</v>
      </c>
      <c r="Q23" s="49">
        <f t="shared" si="9"/>
        <v>247638457.87812242</v>
      </c>
      <c r="R23" s="49">
        <f t="shared" si="9"/>
        <v>247638457.87812242</v>
      </c>
      <c r="S23" s="49">
        <f t="shared" si="9"/>
        <v>247638457.87812242</v>
      </c>
      <c r="T23" s="49">
        <f t="shared" si="9"/>
        <v>247638457.87812242</v>
      </c>
      <c r="U23" s="49">
        <f t="shared" si="10"/>
        <v>247638457.87812242</v>
      </c>
      <c r="V23" s="49">
        <f t="shared" si="10"/>
        <v>247638457.87812242</v>
      </c>
      <c r="W23" s="49">
        <f t="shared" si="10"/>
        <v>247638457.87812242</v>
      </c>
      <c r="X23" s="49">
        <f t="shared" si="10"/>
        <v>247638457.87812242</v>
      </c>
      <c r="Y23" s="49">
        <f t="shared" si="10"/>
        <v>247638457.87812242</v>
      </c>
      <c r="Z23" s="49">
        <f t="shared" si="10"/>
        <v>247638457.87812242</v>
      </c>
      <c r="AA23" s="49">
        <f t="shared" si="10"/>
        <v>247638457.87812242</v>
      </c>
      <c r="AB23" s="49">
        <f t="shared" si="10"/>
        <v>247638457.87812242</v>
      </c>
      <c r="AC23" s="49">
        <f t="shared" si="10"/>
        <v>247638457.87812242</v>
      </c>
      <c r="AD23" s="49">
        <f t="shared" si="10"/>
        <v>247638457.87812242</v>
      </c>
      <c r="AE23" s="49">
        <f t="shared" si="10"/>
        <v>247638457.87812242</v>
      </c>
      <c r="AF23" s="49">
        <f t="shared" si="10"/>
        <v>247638457.87812242</v>
      </c>
      <c r="AG23" s="183">
        <f t="shared" si="10"/>
        <v>247638457.87812242</v>
      </c>
    </row>
    <row r="24" spans="1:33">
      <c r="A24" s="48" t="s">
        <v>12</v>
      </c>
      <c r="B24" s="49">
        <f>C3</f>
        <v>23440</v>
      </c>
      <c r="C24" s="46"/>
      <c r="D24" s="46"/>
      <c r="E24" s="46"/>
      <c r="F24" s="49">
        <f>B24</f>
        <v>23440</v>
      </c>
      <c r="G24" s="46"/>
      <c r="H24" s="46"/>
      <c r="I24" s="46"/>
      <c r="J24" s="57"/>
      <c r="K24" s="182">
        <f t="shared" si="9"/>
        <v>23440</v>
      </c>
      <c r="L24" s="49">
        <f t="shared" si="9"/>
        <v>23440</v>
      </c>
      <c r="M24" s="49">
        <f t="shared" si="9"/>
        <v>23440</v>
      </c>
      <c r="N24" s="49">
        <f t="shared" si="9"/>
        <v>23440</v>
      </c>
      <c r="O24" s="49">
        <f t="shared" si="9"/>
        <v>23440</v>
      </c>
      <c r="P24" s="49">
        <f t="shared" si="9"/>
        <v>23440</v>
      </c>
      <c r="Q24" s="49">
        <f t="shared" si="9"/>
        <v>23440</v>
      </c>
      <c r="R24" s="49">
        <f t="shared" si="9"/>
        <v>23440</v>
      </c>
      <c r="S24" s="49">
        <f t="shared" si="9"/>
        <v>23440</v>
      </c>
      <c r="T24" s="49">
        <f t="shared" si="9"/>
        <v>23440</v>
      </c>
      <c r="U24" s="49">
        <f t="shared" si="10"/>
        <v>23440</v>
      </c>
      <c r="V24" s="49">
        <f t="shared" si="10"/>
        <v>23440</v>
      </c>
      <c r="W24" s="49">
        <f t="shared" si="10"/>
        <v>23440</v>
      </c>
      <c r="X24" s="49">
        <f t="shared" si="10"/>
        <v>23440</v>
      </c>
      <c r="Y24" s="49">
        <f t="shared" si="10"/>
        <v>23440</v>
      </c>
      <c r="Z24" s="49">
        <f t="shared" si="10"/>
        <v>23440</v>
      </c>
      <c r="AA24" s="49">
        <f t="shared" si="10"/>
        <v>23440</v>
      </c>
      <c r="AB24" s="49">
        <f t="shared" si="10"/>
        <v>23440</v>
      </c>
      <c r="AC24" s="49">
        <f t="shared" si="10"/>
        <v>23440</v>
      </c>
      <c r="AD24" s="49">
        <f t="shared" si="10"/>
        <v>23440</v>
      </c>
      <c r="AE24" s="49">
        <f t="shared" si="10"/>
        <v>23440</v>
      </c>
      <c r="AF24" s="49">
        <f t="shared" si="10"/>
        <v>23440</v>
      </c>
      <c r="AG24" s="183">
        <f t="shared" si="10"/>
        <v>23440</v>
      </c>
    </row>
    <row r="25" spans="1:33" ht="13.5" thickBot="1">
      <c r="A25" s="48" t="s">
        <v>278</v>
      </c>
      <c r="B25" s="394">
        <f>('Input Assumptions'!B$24/'EUI by End Use'!AE$4)*'EUI by End Use'!AG$4</f>
        <v>51.879078573836971</v>
      </c>
      <c r="C25" s="46"/>
      <c r="D25" s="46"/>
      <c r="E25" s="46"/>
      <c r="F25" s="394">
        <f>SUM(F26:F33)</f>
        <v>42.706424855778785</v>
      </c>
      <c r="G25" s="394">
        <f t="shared" ref="G25:G35" si="11">B25-F25</f>
        <v>9.1726537180581857</v>
      </c>
      <c r="H25" s="51"/>
      <c r="I25" s="51"/>
      <c r="J25" s="58"/>
      <c r="K25" s="331">
        <f t="shared" si="9"/>
        <v>42.706424855778785</v>
      </c>
      <c r="L25" s="52">
        <f t="shared" si="9"/>
        <v>42.706424855778785</v>
      </c>
      <c r="M25" s="52">
        <f t="shared" si="9"/>
        <v>42.706424855778785</v>
      </c>
      <c r="N25" s="52">
        <f t="shared" si="9"/>
        <v>42.706424855778785</v>
      </c>
      <c r="O25" s="52">
        <f t="shared" si="9"/>
        <v>42.706424855778785</v>
      </c>
      <c r="P25" s="52">
        <f t="shared" si="9"/>
        <v>42.706424855778785</v>
      </c>
      <c r="Q25" s="52">
        <f t="shared" si="9"/>
        <v>42.706424855778785</v>
      </c>
      <c r="R25" s="52">
        <f t="shared" si="9"/>
        <v>42.706424855778785</v>
      </c>
      <c r="S25" s="52">
        <f t="shared" si="9"/>
        <v>42.706424855778785</v>
      </c>
      <c r="T25" s="52">
        <f t="shared" si="9"/>
        <v>42.706424855778785</v>
      </c>
      <c r="U25" s="52">
        <f t="shared" si="10"/>
        <v>42.706424855778785</v>
      </c>
      <c r="V25" s="52">
        <f t="shared" si="10"/>
        <v>42.706424855778785</v>
      </c>
      <c r="W25" s="52">
        <f t="shared" si="10"/>
        <v>42.706424855778785</v>
      </c>
      <c r="X25" s="52">
        <f t="shared" si="10"/>
        <v>42.706424855778785</v>
      </c>
      <c r="Y25" s="52">
        <f t="shared" si="10"/>
        <v>42.706424855778785</v>
      </c>
      <c r="Z25" s="52">
        <f t="shared" si="10"/>
        <v>42.706424855778785</v>
      </c>
      <c r="AA25" s="52">
        <f t="shared" si="10"/>
        <v>42.706424855778785</v>
      </c>
      <c r="AB25" s="52">
        <f t="shared" si="10"/>
        <v>42.706424855778785</v>
      </c>
      <c r="AC25" s="52">
        <f t="shared" si="10"/>
        <v>42.706424855778785</v>
      </c>
      <c r="AD25" s="52">
        <f t="shared" si="10"/>
        <v>42.706424855778785</v>
      </c>
      <c r="AE25" s="52">
        <f t="shared" si="10"/>
        <v>42.706424855778785</v>
      </c>
      <c r="AF25" s="52">
        <f t="shared" si="10"/>
        <v>42.706424855778785</v>
      </c>
      <c r="AG25" s="332">
        <f t="shared" si="10"/>
        <v>42.706424855778785</v>
      </c>
    </row>
    <row r="26" spans="1:33">
      <c r="A26" s="396" t="s">
        <v>271</v>
      </c>
      <c r="B26" s="397">
        <f>('Input Assumptions'!B$24/'EUI by End Use'!AE$4)*'EUI by End Use'!AH$4</f>
        <v>7.8361609779351626</v>
      </c>
      <c r="C26" s="238"/>
      <c r="D26" s="238"/>
      <c r="E26" s="238"/>
      <c r="F26" s="397">
        <f>('Input Assumptions'!$B$24/'EUI by End Use'!AE$4)*'EUI by End Use'!AW$4</f>
        <v>3.0793174969152783</v>
      </c>
      <c r="G26" s="398">
        <f t="shared" si="11"/>
        <v>4.7568434810198843</v>
      </c>
      <c r="H26" s="311"/>
      <c r="I26" s="311"/>
      <c r="J26" s="57"/>
      <c r="K26" s="327">
        <f t="shared" si="9"/>
        <v>3.0793174969152783</v>
      </c>
      <c r="L26" s="320">
        <f t="shared" si="9"/>
        <v>3.0793174969152783</v>
      </c>
      <c r="M26" s="320">
        <f t="shared" si="9"/>
        <v>3.0793174969152783</v>
      </c>
      <c r="N26" s="320">
        <f t="shared" si="9"/>
        <v>3.0793174969152783</v>
      </c>
      <c r="O26" s="320">
        <f t="shared" si="9"/>
        <v>3.0793174969152783</v>
      </c>
      <c r="P26" s="320">
        <f t="shared" si="9"/>
        <v>3.0793174969152783</v>
      </c>
      <c r="Q26" s="320">
        <f t="shared" si="9"/>
        <v>3.0793174969152783</v>
      </c>
      <c r="R26" s="320">
        <f t="shared" si="9"/>
        <v>3.0793174969152783</v>
      </c>
      <c r="S26" s="320">
        <f t="shared" si="9"/>
        <v>3.0793174969152783</v>
      </c>
      <c r="T26" s="320">
        <f t="shared" si="9"/>
        <v>3.0793174969152783</v>
      </c>
      <c r="U26" s="320">
        <f t="shared" si="10"/>
        <v>3.0793174969152783</v>
      </c>
      <c r="V26" s="320">
        <f t="shared" si="10"/>
        <v>3.0793174969152783</v>
      </c>
      <c r="W26" s="320">
        <f t="shared" si="10"/>
        <v>3.0793174969152783</v>
      </c>
      <c r="X26" s="320">
        <f t="shared" si="10"/>
        <v>3.0793174969152783</v>
      </c>
      <c r="Y26" s="320">
        <f t="shared" si="10"/>
        <v>3.0793174969152783</v>
      </c>
      <c r="Z26" s="320">
        <f t="shared" si="10"/>
        <v>3.0793174969152783</v>
      </c>
      <c r="AA26" s="320">
        <f t="shared" si="10"/>
        <v>3.0793174969152783</v>
      </c>
      <c r="AB26" s="320">
        <f t="shared" si="10"/>
        <v>3.0793174969152783</v>
      </c>
      <c r="AC26" s="320">
        <f t="shared" si="10"/>
        <v>3.0793174969152783</v>
      </c>
      <c r="AD26" s="320">
        <f t="shared" si="10"/>
        <v>3.0793174969152783</v>
      </c>
      <c r="AE26" s="320">
        <f t="shared" si="10"/>
        <v>3.0793174969152783</v>
      </c>
      <c r="AF26" s="320">
        <f t="shared" si="10"/>
        <v>3.0793174969152783</v>
      </c>
      <c r="AG26" s="328">
        <f t="shared" si="10"/>
        <v>3.0793174969152783</v>
      </c>
    </row>
    <row r="27" spans="1:33">
      <c r="A27" s="48" t="s">
        <v>272</v>
      </c>
      <c r="B27" s="52">
        <f>('Input Assumptions'!B$24/'EUI by End Use'!AE$4)*'EUI by End Use'!AI$4</f>
        <v>10.108363039033851</v>
      </c>
      <c r="C27" s="46"/>
      <c r="D27" s="46"/>
      <c r="E27" s="46"/>
      <c r="F27" s="52">
        <f>('Input Assumptions'!$B$24/'EUI by End Use'!AE$4)*'EUI by End Use'!AX$4</f>
        <v>7.6268041732914567</v>
      </c>
      <c r="G27" s="332">
        <f t="shared" si="11"/>
        <v>2.4815588657423939</v>
      </c>
      <c r="H27" s="311"/>
      <c r="I27" s="311"/>
      <c r="J27" s="57"/>
      <c r="K27" s="327">
        <f t="shared" si="9"/>
        <v>7.6268041732914567</v>
      </c>
      <c r="L27" s="320">
        <f t="shared" si="9"/>
        <v>7.6268041732914567</v>
      </c>
      <c r="M27" s="320">
        <f t="shared" si="9"/>
        <v>7.6268041732914567</v>
      </c>
      <c r="N27" s="320">
        <f t="shared" si="9"/>
        <v>7.6268041732914567</v>
      </c>
      <c r="O27" s="320">
        <f t="shared" si="9"/>
        <v>7.6268041732914567</v>
      </c>
      <c r="P27" s="320">
        <f t="shared" si="9"/>
        <v>7.6268041732914567</v>
      </c>
      <c r="Q27" s="320">
        <f t="shared" si="9"/>
        <v>7.6268041732914567</v>
      </c>
      <c r="R27" s="320">
        <f t="shared" si="9"/>
        <v>7.6268041732914567</v>
      </c>
      <c r="S27" s="320">
        <f t="shared" si="9"/>
        <v>7.6268041732914567</v>
      </c>
      <c r="T27" s="320">
        <f t="shared" si="9"/>
        <v>7.6268041732914567</v>
      </c>
      <c r="U27" s="320">
        <f t="shared" si="10"/>
        <v>7.6268041732914567</v>
      </c>
      <c r="V27" s="320">
        <f t="shared" si="10"/>
        <v>7.6268041732914567</v>
      </c>
      <c r="W27" s="320">
        <f t="shared" si="10"/>
        <v>7.6268041732914567</v>
      </c>
      <c r="X27" s="320">
        <f t="shared" si="10"/>
        <v>7.6268041732914567</v>
      </c>
      <c r="Y27" s="320">
        <f t="shared" si="10"/>
        <v>7.6268041732914567</v>
      </c>
      <c r="Z27" s="320">
        <f t="shared" si="10"/>
        <v>7.6268041732914567</v>
      </c>
      <c r="AA27" s="320">
        <f t="shared" si="10"/>
        <v>7.6268041732914567</v>
      </c>
      <c r="AB27" s="320">
        <f t="shared" si="10"/>
        <v>7.6268041732914567</v>
      </c>
      <c r="AC27" s="320">
        <f t="shared" si="10"/>
        <v>7.6268041732914567</v>
      </c>
      <c r="AD27" s="320">
        <f t="shared" si="10"/>
        <v>7.6268041732914567</v>
      </c>
      <c r="AE27" s="320">
        <f t="shared" si="10"/>
        <v>7.6268041732914567</v>
      </c>
      <c r="AF27" s="320">
        <f t="shared" si="10"/>
        <v>7.6268041732914567</v>
      </c>
      <c r="AG27" s="328">
        <f t="shared" si="10"/>
        <v>7.6268041732914567</v>
      </c>
    </row>
    <row r="28" spans="1:33" ht="13.5" thickBot="1">
      <c r="A28" s="399" t="s">
        <v>273</v>
      </c>
      <c r="B28" s="400">
        <f>('Input Assumptions'!B$24/'EUI by End Use'!AE$4)*'EUI by End Use'!AJ$4</f>
        <v>7.2293088119348079</v>
      </c>
      <c r="C28" s="64"/>
      <c r="D28" s="64"/>
      <c r="E28" s="64"/>
      <c r="F28" s="400">
        <f>('Input Assumptions'!$B$24/'EUI by End Use'!AE$4)*'EUI by End Use'!AY$4</f>
        <v>5.2950574406388915</v>
      </c>
      <c r="G28" s="401">
        <f t="shared" si="11"/>
        <v>1.9342513712959164</v>
      </c>
      <c r="H28" s="311"/>
      <c r="I28" s="311"/>
      <c r="J28" s="57"/>
      <c r="K28" s="327">
        <f t="shared" si="9"/>
        <v>5.2950574406388915</v>
      </c>
      <c r="L28" s="320">
        <f t="shared" si="9"/>
        <v>5.2950574406388915</v>
      </c>
      <c r="M28" s="320">
        <f t="shared" si="9"/>
        <v>5.2950574406388915</v>
      </c>
      <c r="N28" s="320">
        <f t="shared" si="9"/>
        <v>5.2950574406388915</v>
      </c>
      <c r="O28" s="320">
        <f t="shared" si="9"/>
        <v>5.2950574406388915</v>
      </c>
      <c r="P28" s="320">
        <f t="shared" si="9"/>
        <v>5.2950574406388915</v>
      </c>
      <c r="Q28" s="320">
        <f t="shared" si="9"/>
        <v>5.2950574406388915</v>
      </c>
      <c r="R28" s="320">
        <f t="shared" si="9"/>
        <v>5.2950574406388915</v>
      </c>
      <c r="S28" s="320">
        <f t="shared" si="9"/>
        <v>5.2950574406388915</v>
      </c>
      <c r="T28" s="320">
        <f t="shared" si="9"/>
        <v>5.2950574406388915</v>
      </c>
      <c r="U28" s="320">
        <f t="shared" si="10"/>
        <v>5.2950574406388915</v>
      </c>
      <c r="V28" s="320">
        <f t="shared" si="10"/>
        <v>5.2950574406388915</v>
      </c>
      <c r="W28" s="320">
        <f t="shared" si="10"/>
        <v>5.2950574406388915</v>
      </c>
      <c r="X28" s="320">
        <f t="shared" si="10"/>
        <v>5.2950574406388915</v>
      </c>
      <c r="Y28" s="320">
        <f t="shared" si="10"/>
        <v>5.2950574406388915</v>
      </c>
      <c r="Z28" s="320">
        <f t="shared" si="10"/>
        <v>5.2950574406388915</v>
      </c>
      <c r="AA28" s="320">
        <f t="shared" si="10"/>
        <v>5.2950574406388915</v>
      </c>
      <c r="AB28" s="320">
        <f t="shared" si="10"/>
        <v>5.2950574406388915</v>
      </c>
      <c r="AC28" s="320">
        <f t="shared" si="10"/>
        <v>5.2950574406388915</v>
      </c>
      <c r="AD28" s="320">
        <f t="shared" si="10"/>
        <v>5.2950574406388915</v>
      </c>
      <c r="AE28" s="320">
        <f t="shared" si="10"/>
        <v>5.2950574406388915</v>
      </c>
      <c r="AF28" s="320">
        <f t="shared" si="10"/>
        <v>5.2950574406388915</v>
      </c>
      <c r="AG28" s="328">
        <f t="shared" si="10"/>
        <v>5.2950574406388915</v>
      </c>
    </row>
    <row r="29" spans="1:33">
      <c r="A29" s="44" t="s">
        <v>274</v>
      </c>
      <c r="B29" s="395">
        <f>('Input Assumptions'!B$24/'EUI by End Use'!AE$4)*'EUI by End Use'!AK$4</f>
        <v>9.1294979595549499</v>
      </c>
      <c r="C29" s="46"/>
      <c r="D29" s="46"/>
      <c r="E29" s="46"/>
      <c r="F29" s="395">
        <f>('Input Assumptions'!$B$24/'EUI by End Use'!AE$4)*'EUI by End Use'!AZ$4</f>
        <v>9.1294979595549499</v>
      </c>
      <c r="G29" s="395">
        <f t="shared" si="11"/>
        <v>0</v>
      </c>
      <c r="H29" s="46"/>
      <c r="I29" s="46"/>
      <c r="J29" s="57"/>
      <c r="K29" s="331">
        <f t="shared" si="9"/>
        <v>9.1294979595549499</v>
      </c>
      <c r="L29" s="52">
        <f t="shared" si="9"/>
        <v>9.1294979595549499</v>
      </c>
      <c r="M29" s="52">
        <f t="shared" si="9"/>
        <v>9.1294979595549499</v>
      </c>
      <c r="N29" s="52">
        <f t="shared" si="9"/>
        <v>9.1294979595549499</v>
      </c>
      <c r="O29" s="52">
        <f t="shared" si="9"/>
        <v>9.1294979595549499</v>
      </c>
      <c r="P29" s="52">
        <f t="shared" si="9"/>
        <v>9.1294979595549499</v>
      </c>
      <c r="Q29" s="52">
        <f t="shared" si="9"/>
        <v>9.1294979595549499</v>
      </c>
      <c r="R29" s="52">
        <f t="shared" si="9"/>
        <v>9.1294979595549499</v>
      </c>
      <c r="S29" s="52">
        <f t="shared" si="9"/>
        <v>9.1294979595549499</v>
      </c>
      <c r="T29" s="52">
        <f t="shared" si="9"/>
        <v>9.1294979595549499</v>
      </c>
      <c r="U29" s="52">
        <f t="shared" si="10"/>
        <v>9.1294979595549499</v>
      </c>
      <c r="V29" s="52">
        <f t="shared" si="10"/>
        <v>9.1294979595549499</v>
      </c>
      <c r="W29" s="52">
        <f t="shared" si="10"/>
        <v>9.1294979595549499</v>
      </c>
      <c r="X29" s="52">
        <f t="shared" si="10"/>
        <v>9.1294979595549499</v>
      </c>
      <c r="Y29" s="52">
        <f t="shared" si="10"/>
        <v>9.1294979595549499</v>
      </c>
      <c r="Z29" s="52">
        <f t="shared" si="10"/>
        <v>9.1294979595549499</v>
      </c>
      <c r="AA29" s="52">
        <f t="shared" si="10"/>
        <v>9.1294979595549499</v>
      </c>
      <c r="AB29" s="52">
        <f t="shared" si="10"/>
        <v>9.1294979595549499</v>
      </c>
      <c r="AC29" s="52">
        <f t="shared" si="10"/>
        <v>9.1294979595549499</v>
      </c>
      <c r="AD29" s="52">
        <f t="shared" si="10"/>
        <v>9.1294979595549499</v>
      </c>
      <c r="AE29" s="52">
        <f t="shared" si="10"/>
        <v>9.1294979595549499</v>
      </c>
      <c r="AF29" s="52">
        <f t="shared" si="10"/>
        <v>9.1294979595549499</v>
      </c>
      <c r="AG29" s="332">
        <f t="shared" si="10"/>
        <v>9.1294979595549499</v>
      </c>
    </row>
    <row r="30" spans="1:33">
      <c r="A30" s="48" t="s">
        <v>275</v>
      </c>
      <c r="B30" s="52">
        <f>('Input Assumptions'!B$24/'EUI by End Use'!AE$4)*'EUI by End Use'!AL$4</f>
        <v>3.1395814311108778</v>
      </c>
      <c r="C30" s="46"/>
      <c r="D30" s="46"/>
      <c r="E30" s="46"/>
      <c r="F30" s="52">
        <f>('Input Assumptions'!$B$24/'EUI by End Use'!AE$4)*'EUI by End Use'!BA$4</f>
        <v>3.1395814311108778</v>
      </c>
      <c r="G30" s="52">
        <f t="shared" si="11"/>
        <v>0</v>
      </c>
      <c r="H30" s="46"/>
      <c r="I30" s="46"/>
      <c r="J30" s="57"/>
      <c r="K30" s="331">
        <f t="shared" si="9"/>
        <v>3.1395814311108778</v>
      </c>
      <c r="L30" s="52">
        <f t="shared" si="9"/>
        <v>3.1395814311108778</v>
      </c>
      <c r="M30" s="52">
        <f t="shared" si="9"/>
        <v>3.1395814311108778</v>
      </c>
      <c r="N30" s="52">
        <f t="shared" si="9"/>
        <v>3.1395814311108778</v>
      </c>
      <c r="O30" s="52">
        <f t="shared" si="9"/>
        <v>3.1395814311108778</v>
      </c>
      <c r="P30" s="52">
        <f t="shared" si="9"/>
        <v>3.1395814311108778</v>
      </c>
      <c r="Q30" s="52">
        <f t="shared" si="9"/>
        <v>3.1395814311108778</v>
      </c>
      <c r="R30" s="52">
        <f t="shared" si="9"/>
        <v>3.1395814311108778</v>
      </c>
      <c r="S30" s="52">
        <f t="shared" si="9"/>
        <v>3.1395814311108778</v>
      </c>
      <c r="T30" s="52">
        <f t="shared" si="9"/>
        <v>3.1395814311108778</v>
      </c>
      <c r="U30" s="52">
        <f t="shared" si="10"/>
        <v>3.1395814311108778</v>
      </c>
      <c r="V30" s="52">
        <f t="shared" si="10"/>
        <v>3.1395814311108778</v>
      </c>
      <c r="W30" s="52">
        <f t="shared" si="10"/>
        <v>3.1395814311108778</v>
      </c>
      <c r="X30" s="52">
        <f t="shared" si="10"/>
        <v>3.1395814311108778</v>
      </c>
      <c r="Y30" s="52">
        <f t="shared" si="10"/>
        <v>3.1395814311108778</v>
      </c>
      <c r="Z30" s="52">
        <f t="shared" si="10"/>
        <v>3.1395814311108778</v>
      </c>
      <c r="AA30" s="52">
        <f t="shared" si="10"/>
        <v>3.1395814311108778</v>
      </c>
      <c r="AB30" s="52">
        <f t="shared" si="10"/>
        <v>3.1395814311108778</v>
      </c>
      <c r="AC30" s="52">
        <f t="shared" si="10"/>
        <v>3.1395814311108778</v>
      </c>
      <c r="AD30" s="52">
        <f t="shared" si="10"/>
        <v>3.1395814311108778</v>
      </c>
      <c r="AE30" s="52">
        <f t="shared" si="10"/>
        <v>3.1395814311108778</v>
      </c>
      <c r="AF30" s="52">
        <f t="shared" si="10"/>
        <v>3.1395814311108778</v>
      </c>
      <c r="AG30" s="332">
        <f t="shared" si="10"/>
        <v>3.1395814311108778</v>
      </c>
    </row>
    <row r="31" spans="1:33">
      <c r="A31" s="48" t="s">
        <v>276</v>
      </c>
      <c r="B31" s="52">
        <f>('Input Assumptions'!B$24/'EUI by End Use'!AE$4)*'EUI by End Use'!AM$4</f>
        <v>1.1433707208210211</v>
      </c>
      <c r="C31" s="46"/>
      <c r="D31" s="46"/>
      <c r="E31" s="46"/>
      <c r="F31" s="52">
        <f>('Input Assumptions'!$B$24/'EUI by End Use'!AE$4)*'EUI by End Use'!BB$4</f>
        <v>1.1433707208210211</v>
      </c>
      <c r="G31" s="52">
        <f t="shared" si="11"/>
        <v>0</v>
      </c>
      <c r="H31" s="46"/>
      <c r="I31" s="46"/>
      <c r="J31" s="57"/>
      <c r="K31" s="331">
        <f t="shared" si="9"/>
        <v>1.1433707208210211</v>
      </c>
      <c r="L31" s="52">
        <f t="shared" si="9"/>
        <v>1.1433707208210211</v>
      </c>
      <c r="M31" s="52">
        <f t="shared" si="9"/>
        <v>1.1433707208210211</v>
      </c>
      <c r="N31" s="52">
        <f t="shared" si="9"/>
        <v>1.1433707208210211</v>
      </c>
      <c r="O31" s="52">
        <f t="shared" si="9"/>
        <v>1.1433707208210211</v>
      </c>
      <c r="P31" s="52">
        <f t="shared" si="9"/>
        <v>1.1433707208210211</v>
      </c>
      <c r="Q31" s="52">
        <f t="shared" si="9"/>
        <v>1.1433707208210211</v>
      </c>
      <c r="R31" s="52">
        <f t="shared" si="9"/>
        <v>1.1433707208210211</v>
      </c>
      <c r="S31" s="52">
        <f t="shared" si="9"/>
        <v>1.1433707208210211</v>
      </c>
      <c r="T31" s="52">
        <f t="shared" si="9"/>
        <v>1.1433707208210211</v>
      </c>
      <c r="U31" s="52">
        <f t="shared" si="10"/>
        <v>1.1433707208210211</v>
      </c>
      <c r="V31" s="52">
        <f t="shared" si="10"/>
        <v>1.1433707208210211</v>
      </c>
      <c r="W31" s="52">
        <f t="shared" si="10"/>
        <v>1.1433707208210211</v>
      </c>
      <c r="X31" s="52">
        <f t="shared" si="10"/>
        <v>1.1433707208210211</v>
      </c>
      <c r="Y31" s="52">
        <f t="shared" si="10"/>
        <v>1.1433707208210211</v>
      </c>
      <c r="Z31" s="52">
        <f t="shared" si="10"/>
        <v>1.1433707208210211</v>
      </c>
      <c r="AA31" s="52">
        <f t="shared" si="10"/>
        <v>1.1433707208210211</v>
      </c>
      <c r="AB31" s="52">
        <f t="shared" si="10"/>
        <v>1.1433707208210211</v>
      </c>
      <c r="AC31" s="52">
        <f t="shared" si="10"/>
        <v>1.1433707208210211</v>
      </c>
      <c r="AD31" s="52">
        <f t="shared" si="10"/>
        <v>1.1433707208210211</v>
      </c>
      <c r="AE31" s="52">
        <f t="shared" si="10"/>
        <v>1.1433707208210211</v>
      </c>
      <c r="AF31" s="52">
        <f t="shared" si="10"/>
        <v>1.1433707208210211</v>
      </c>
      <c r="AG31" s="332">
        <f t="shared" si="10"/>
        <v>1.1433707208210211</v>
      </c>
    </row>
    <row r="32" spans="1:33">
      <c r="A32" s="48" t="s">
        <v>277</v>
      </c>
      <c r="B32" s="52">
        <f>('Input Assumptions'!B$24/'EUI by End Use'!AE$4)*'EUI by End Use'!AN$4</f>
        <v>4.6662677640660553</v>
      </c>
      <c r="C32" s="46"/>
      <c r="D32" s="46"/>
      <c r="E32" s="46"/>
      <c r="F32" s="52">
        <f>('Input Assumptions'!$B$24/'EUI by End Use'!AE$4)*'EUI by End Use'!BC$4</f>
        <v>4.6662677640660553</v>
      </c>
      <c r="G32" s="52">
        <f t="shared" si="11"/>
        <v>0</v>
      </c>
      <c r="H32" s="46"/>
      <c r="I32" s="46"/>
      <c r="J32" s="57"/>
      <c r="K32" s="331">
        <f t="shared" si="9"/>
        <v>4.6662677640660553</v>
      </c>
      <c r="L32" s="52">
        <f t="shared" si="9"/>
        <v>4.6662677640660553</v>
      </c>
      <c r="M32" s="52">
        <f t="shared" si="9"/>
        <v>4.6662677640660553</v>
      </c>
      <c r="N32" s="52">
        <f t="shared" si="9"/>
        <v>4.6662677640660553</v>
      </c>
      <c r="O32" s="52">
        <f t="shared" si="9"/>
        <v>4.6662677640660553</v>
      </c>
      <c r="P32" s="52">
        <f t="shared" si="9"/>
        <v>4.6662677640660553</v>
      </c>
      <c r="Q32" s="52">
        <f t="shared" si="9"/>
        <v>4.6662677640660553</v>
      </c>
      <c r="R32" s="52">
        <f t="shared" si="9"/>
        <v>4.6662677640660553</v>
      </c>
      <c r="S32" s="52">
        <f t="shared" si="9"/>
        <v>4.6662677640660553</v>
      </c>
      <c r="T32" s="52">
        <f t="shared" si="9"/>
        <v>4.6662677640660553</v>
      </c>
      <c r="U32" s="52">
        <f t="shared" si="10"/>
        <v>4.6662677640660553</v>
      </c>
      <c r="V32" s="52">
        <f t="shared" si="10"/>
        <v>4.6662677640660553</v>
      </c>
      <c r="W32" s="52">
        <f t="shared" si="10"/>
        <v>4.6662677640660553</v>
      </c>
      <c r="X32" s="52">
        <f t="shared" si="10"/>
        <v>4.6662677640660553</v>
      </c>
      <c r="Y32" s="52">
        <f t="shared" si="10"/>
        <v>4.6662677640660553</v>
      </c>
      <c r="Z32" s="52">
        <f t="shared" si="10"/>
        <v>4.6662677640660553</v>
      </c>
      <c r="AA32" s="52">
        <f t="shared" si="10"/>
        <v>4.6662677640660553</v>
      </c>
      <c r="AB32" s="52">
        <f t="shared" si="10"/>
        <v>4.6662677640660553</v>
      </c>
      <c r="AC32" s="52">
        <f t="shared" si="10"/>
        <v>4.6662677640660553</v>
      </c>
      <c r="AD32" s="52">
        <f t="shared" si="10"/>
        <v>4.6662677640660553</v>
      </c>
      <c r="AE32" s="52">
        <f t="shared" si="10"/>
        <v>4.6662677640660553</v>
      </c>
      <c r="AF32" s="52">
        <f t="shared" si="10"/>
        <v>4.6662677640660553</v>
      </c>
      <c r="AG32" s="332">
        <f t="shared" si="10"/>
        <v>4.6662677640660553</v>
      </c>
    </row>
    <row r="33" spans="1:33">
      <c r="A33" s="48" t="s">
        <v>76</v>
      </c>
      <c r="B33" s="52">
        <f>B25-(SUM(B26:B32))</f>
        <v>8.6265278693802543</v>
      </c>
      <c r="C33" s="46"/>
      <c r="D33" s="46"/>
      <c r="E33" s="46"/>
      <c r="F33" s="52">
        <f>B33</f>
        <v>8.6265278693802543</v>
      </c>
      <c r="G33" s="52">
        <f t="shared" si="11"/>
        <v>0</v>
      </c>
      <c r="H33" s="46"/>
      <c r="I33" s="46"/>
      <c r="J33" s="57"/>
      <c r="K33" s="331">
        <f t="shared" si="9"/>
        <v>8.6265278693802543</v>
      </c>
      <c r="L33" s="52">
        <f t="shared" si="9"/>
        <v>8.6265278693802543</v>
      </c>
      <c r="M33" s="52">
        <f t="shared" si="9"/>
        <v>8.6265278693802543</v>
      </c>
      <c r="N33" s="52">
        <f t="shared" si="9"/>
        <v>8.6265278693802543</v>
      </c>
      <c r="O33" s="52">
        <f t="shared" si="9"/>
        <v>8.6265278693802543</v>
      </c>
      <c r="P33" s="52">
        <f t="shared" si="9"/>
        <v>8.6265278693802543</v>
      </c>
      <c r="Q33" s="52">
        <f t="shared" si="9"/>
        <v>8.6265278693802543</v>
      </c>
      <c r="R33" s="52">
        <f t="shared" si="9"/>
        <v>8.6265278693802543</v>
      </c>
      <c r="S33" s="52">
        <f t="shared" si="9"/>
        <v>8.6265278693802543</v>
      </c>
      <c r="T33" s="52">
        <f t="shared" si="9"/>
        <v>8.6265278693802543</v>
      </c>
      <c r="U33" s="52">
        <f t="shared" si="10"/>
        <v>8.6265278693802543</v>
      </c>
      <c r="V33" s="52">
        <f t="shared" si="10"/>
        <v>8.6265278693802543</v>
      </c>
      <c r="W33" s="52">
        <f t="shared" si="10"/>
        <v>8.6265278693802543</v>
      </c>
      <c r="X33" s="52">
        <f t="shared" si="10"/>
        <v>8.6265278693802543</v>
      </c>
      <c r="Y33" s="52">
        <f t="shared" si="10"/>
        <v>8.6265278693802543</v>
      </c>
      <c r="Z33" s="52">
        <f t="shared" si="10"/>
        <v>8.6265278693802543</v>
      </c>
      <c r="AA33" s="52">
        <f t="shared" si="10"/>
        <v>8.6265278693802543</v>
      </c>
      <c r="AB33" s="52">
        <f t="shared" si="10"/>
        <v>8.6265278693802543</v>
      </c>
      <c r="AC33" s="52">
        <f t="shared" si="10"/>
        <v>8.6265278693802543</v>
      </c>
      <c r="AD33" s="52">
        <f t="shared" si="10"/>
        <v>8.6265278693802543</v>
      </c>
      <c r="AE33" s="52">
        <f t="shared" si="10"/>
        <v>8.6265278693802543</v>
      </c>
      <c r="AF33" s="52">
        <f t="shared" si="10"/>
        <v>8.6265278693802543</v>
      </c>
      <c r="AG33" s="332">
        <f t="shared" si="10"/>
        <v>8.6265278693802543</v>
      </c>
    </row>
    <row r="34" spans="1:33">
      <c r="A34" s="48" t="s">
        <v>21</v>
      </c>
      <c r="B34" s="49">
        <f>(B23/1000)*B25</f>
        <v>12847255.01416293</v>
      </c>
      <c r="C34" s="46"/>
      <c r="D34" s="46"/>
      <c r="E34" s="46"/>
      <c r="F34" s="49">
        <f>(F23/1000)*F25</f>
        <v>10575753.192772975</v>
      </c>
      <c r="G34" s="38">
        <f t="shared" si="11"/>
        <v>2271501.8213899545</v>
      </c>
      <c r="H34" s="46"/>
      <c r="I34" s="46"/>
      <c r="J34" s="57"/>
      <c r="K34" s="182">
        <f t="shared" si="9"/>
        <v>10575753.192772975</v>
      </c>
      <c r="L34" s="49">
        <f t="shared" si="9"/>
        <v>10575753.192772975</v>
      </c>
      <c r="M34" s="49">
        <f t="shared" si="9"/>
        <v>10575753.192772975</v>
      </c>
      <c r="N34" s="49">
        <f t="shared" si="9"/>
        <v>10575753.192772975</v>
      </c>
      <c r="O34" s="49">
        <f t="shared" si="9"/>
        <v>10575753.192772975</v>
      </c>
      <c r="P34" s="49">
        <f t="shared" si="9"/>
        <v>10575753.192772975</v>
      </c>
      <c r="Q34" s="49">
        <f t="shared" si="9"/>
        <v>10575753.192772975</v>
      </c>
      <c r="R34" s="49">
        <f t="shared" si="9"/>
        <v>10575753.192772975</v>
      </c>
      <c r="S34" s="49">
        <f t="shared" si="9"/>
        <v>10575753.192772975</v>
      </c>
      <c r="T34" s="49">
        <f t="shared" si="9"/>
        <v>10575753.192772975</v>
      </c>
      <c r="U34" s="49">
        <f t="shared" si="10"/>
        <v>10575753.192772975</v>
      </c>
      <c r="V34" s="49">
        <f t="shared" si="10"/>
        <v>10575753.192772975</v>
      </c>
      <c r="W34" s="49">
        <f t="shared" si="10"/>
        <v>10575753.192772975</v>
      </c>
      <c r="X34" s="49">
        <f t="shared" si="10"/>
        <v>10575753.192772975</v>
      </c>
      <c r="Y34" s="49">
        <f t="shared" si="10"/>
        <v>10575753.192772975</v>
      </c>
      <c r="Z34" s="49">
        <f t="shared" si="10"/>
        <v>10575753.192772975</v>
      </c>
      <c r="AA34" s="49">
        <f t="shared" si="10"/>
        <v>10575753.192772975</v>
      </c>
      <c r="AB34" s="49">
        <f t="shared" si="10"/>
        <v>10575753.192772975</v>
      </c>
      <c r="AC34" s="49">
        <f t="shared" si="10"/>
        <v>10575753.192772975</v>
      </c>
      <c r="AD34" s="49">
        <f t="shared" si="10"/>
        <v>10575753.192772975</v>
      </c>
      <c r="AE34" s="49">
        <f t="shared" si="10"/>
        <v>10575753.192772975</v>
      </c>
      <c r="AF34" s="49">
        <f t="shared" si="10"/>
        <v>10575753.192772975</v>
      </c>
      <c r="AG34" s="183">
        <f t="shared" si="10"/>
        <v>10575753.192772975</v>
      </c>
    </row>
    <row r="35" spans="1:33" ht="13.5" thickBot="1">
      <c r="A35" s="48" t="s">
        <v>22</v>
      </c>
      <c r="B35" s="54">
        <f>B34/8760000</f>
        <v>1.4665816226213391</v>
      </c>
      <c r="C35" s="46"/>
      <c r="D35" s="46"/>
      <c r="E35" s="46"/>
      <c r="F35" s="54">
        <f>F34/8760000</f>
        <v>1.2072777617320747</v>
      </c>
      <c r="G35" s="55">
        <f t="shared" si="11"/>
        <v>0.25930386088926438</v>
      </c>
      <c r="H35" s="46"/>
      <c r="I35" s="46"/>
      <c r="J35" s="57"/>
      <c r="K35" s="338">
        <f t="shared" si="9"/>
        <v>1.2072777617320747</v>
      </c>
      <c r="L35" s="54">
        <f t="shared" si="9"/>
        <v>1.2072777617320747</v>
      </c>
      <c r="M35" s="54">
        <f t="shared" si="9"/>
        <v>1.2072777617320747</v>
      </c>
      <c r="N35" s="54">
        <f t="shared" si="9"/>
        <v>1.2072777617320747</v>
      </c>
      <c r="O35" s="54">
        <f t="shared" si="9"/>
        <v>1.2072777617320747</v>
      </c>
      <c r="P35" s="54">
        <f t="shared" si="9"/>
        <v>1.2072777617320747</v>
      </c>
      <c r="Q35" s="54">
        <f t="shared" si="9"/>
        <v>1.2072777617320747</v>
      </c>
      <c r="R35" s="54">
        <f t="shared" si="9"/>
        <v>1.2072777617320747</v>
      </c>
      <c r="S35" s="54">
        <f t="shared" si="9"/>
        <v>1.2072777617320747</v>
      </c>
      <c r="T35" s="54">
        <f t="shared" si="9"/>
        <v>1.2072777617320747</v>
      </c>
      <c r="U35" s="54">
        <f t="shared" si="10"/>
        <v>1.2072777617320747</v>
      </c>
      <c r="V35" s="54">
        <f t="shared" si="10"/>
        <v>1.2072777617320747</v>
      </c>
      <c r="W35" s="54">
        <f t="shared" si="10"/>
        <v>1.2072777617320747</v>
      </c>
      <c r="X35" s="54">
        <f t="shared" si="10"/>
        <v>1.2072777617320747</v>
      </c>
      <c r="Y35" s="54">
        <f t="shared" si="10"/>
        <v>1.2072777617320747</v>
      </c>
      <c r="Z35" s="54">
        <f t="shared" si="10"/>
        <v>1.2072777617320747</v>
      </c>
      <c r="AA35" s="54">
        <f t="shared" si="10"/>
        <v>1.2072777617320747</v>
      </c>
      <c r="AB35" s="54">
        <f t="shared" si="10"/>
        <v>1.2072777617320747</v>
      </c>
      <c r="AC35" s="54">
        <f t="shared" si="10"/>
        <v>1.2072777617320747</v>
      </c>
      <c r="AD35" s="54">
        <f t="shared" si="10"/>
        <v>1.2072777617320747</v>
      </c>
      <c r="AE35" s="54">
        <f t="shared" si="10"/>
        <v>1.2072777617320747</v>
      </c>
      <c r="AF35" s="54">
        <f t="shared" si="10"/>
        <v>1.2072777617320747</v>
      </c>
      <c r="AG35" s="339">
        <f t="shared" si="10"/>
        <v>1.2072777617320747</v>
      </c>
    </row>
    <row r="36" spans="1:33" ht="13.5" thickBot="1">
      <c r="A36" s="59"/>
      <c r="B36" s="60"/>
      <c r="C36" s="60"/>
      <c r="D36" s="60"/>
      <c r="E36" s="60"/>
      <c r="F36" s="60"/>
      <c r="G36" s="61"/>
      <c r="H36" s="676" t="s">
        <v>24</v>
      </c>
      <c r="I36" s="673"/>
      <c r="J36" s="674"/>
      <c r="K36" s="340">
        <f t="shared" ref="K36:AF36" si="12">$B35+K7</f>
        <v>39.982761515615096</v>
      </c>
      <c r="L36" s="341">
        <f t="shared" si="12"/>
        <v>39.544606349056686</v>
      </c>
      <c r="M36" s="341">
        <f t="shared" si="12"/>
        <v>40.014896769876628</v>
      </c>
      <c r="N36" s="341">
        <f t="shared" ca="1" si="12"/>
        <v>40.561268753611792</v>
      </c>
      <c r="O36" s="341">
        <f t="shared" ca="1" si="12"/>
        <v>41.186179055294879</v>
      </c>
      <c r="P36" s="341">
        <f t="shared" ca="1" si="12"/>
        <v>41.712966236260193</v>
      </c>
      <c r="Q36" s="341">
        <f t="shared" ca="1" si="12"/>
        <v>42.423209682246288</v>
      </c>
      <c r="R36" s="341">
        <f t="shared" ca="1" si="12"/>
        <v>43.145902599041499</v>
      </c>
      <c r="S36" s="341">
        <f t="shared" ca="1" si="12"/>
        <v>43.937810971211839</v>
      </c>
      <c r="T36" s="341">
        <f t="shared" ca="1" si="12"/>
        <v>44.709348441727734</v>
      </c>
      <c r="U36" s="341">
        <f t="shared" ca="1" si="12"/>
        <v>45.592424172297193</v>
      </c>
      <c r="V36" s="341">
        <f t="shared" ca="1" si="12"/>
        <v>46.543747276595418</v>
      </c>
      <c r="W36" s="341">
        <f t="shared" ca="1" si="12"/>
        <v>47.555222220847298</v>
      </c>
      <c r="X36" s="341">
        <f t="shared" ca="1" si="12"/>
        <v>48.760148716345128</v>
      </c>
      <c r="Y36" s="341">
        <f t="shared" ca="1" si="12"/>
        <v>49.816570064880871</v>
      </c>
      <c r="Z36" s="341">
        <f t="shared" ca="1" si="12"/>
        <v>50.953301575995376</v>
      </c>
      <c r="AA36" s="341">
        <f t="shared" ca="1" si="12"/>
        <v>51.898883760099601</v>
      </c>
      <c r="AB36" s="341">
        <f t="shared" ca="1" si="12"/>
        <v>52.890412982435549</v>
      </c>
      <c r="AC36" s="341">
        <f t="shared" ca="1" si="12"/>
        <v>53.930700278961204</v>
      </c>
      <c r="AD36" s="341">
        <f t="shared" ca="1" si="12"/>
        <v>54.891101901919903</v>
      </c>
      <c r="AE36" s="341">
        <f t="shared" ca="1" si="12"/>
        <v>55.783976061803799</v>
      </c>
      <c r="AF36" s="341">
        <f t="shared" ca="1" si="12"/>
        <v>56.797082322745808</v>
      </c>
      <c r="AG36" s="342">
        <f t="shared" ref="AG36" ca="1" si="13">$B35+AG7</f>
        <v>57.487065226345962</v>
      </c>
    </row>
    <row r="37" spans="1:33" ht="13.5" thickBot="1">
      <c r="A37" s="62" t="s">
        <v>25</v>
      </c>
      <c r="B37" s="63">
        <f>B20+B35</f>
        <v>39.983112104618698</v>
      </c>
      <c r="C37" s="64"/>
      <c r="D37" s="64"/>
      <c r="E37" s="64"/>
      <c r="F37" s="63">
        <f>F20+F35</f>
        <v>36.809840595584099</v>
      </c>
      <c r="G37" s="65">
        <f>G20+G35</f>
        <v>3.1732715090345951</v>
      </c>
      <c r="H37" s="658" t="s">
        <v>26</v>
      </c>
      <c r="I37" s="659"/>
      <c r="J37" s="660"/>
      <c r="K37" s="333">
        <f t="shared" ref="K37:AF37" si="14">K20+K35</f>
        <v>36.809516530387334</v>
      </c>
      <c r="L37" s="76">
        <f t="shared" si="14"/>
        <v>36.404509987659814</v>
      </c>
      <c r="M37" s="76">
        <f t="shared" si="14"/>
        <v>36.839220592376059</v>
      </c>
      <c r="N37" s="76">
        <f t="shared" ca="1" si="14"/>
        <v>37.344256810284627</v>
      </c>
      <c r="O37" s="76">
        <f t="shared" ca="1" si="14"/>
        <v>37.921889530645871</v>
      </c>
      <c r="P37" s="76">
        <f t="shared" ca="1" si="14"/>
        <v>38.408822633801449</v>
      </c>
      <c r="Q37" s="76">
        <f t="shared" ca="1" si="14"/>
        <v>39.065332620464723</v>
      </c>
      <c r="R37" s="76">
        <f t="shared" ca="1" si="14"/>
        <v>39.733350213373498</v>
      </c>
      <c r="S37" s="76">
        <f t="shared" ca="1" si="14"/>
        <v>40.465346767217461</v>
      </c>
      <c r="T37" s="76">
        <f t="shared" ca="1" si="14"/>
        <v>41.178513579725468</v>
      </c>
      <c r="U37" s="76">
        <f t="shared" ca="1" si="14"/>
        <v>41.994780226570619</v>
      </c>
      <c r="V37" s="76">
        <f t="shared" ca="1" si="14"/>
        <v>42.874130992909848</v>
      </c>
      <c r="W37" s="76">
        <f t="shared" ca="1" si="14"/>
        <v>43.809082812477975</v>
      </c>
      <c r="X37" s="76">
        <f t="shared" ca="1" si="14"/>
        <v>44.922850608520385</v>
      </c>
      <c r="Y37" s="76">
        <f t="shared" ca="1" si="14"/>
        <v>45.899348412699453</v>
      </c>
      <c r="Z37" s="76">
        <f t="shared" ca="1" si="14"/>
        <v>46.950080515077914</v>
      </c>
      <c r="AA37" s="76">
        <f t="shared" ca="1" si="14"/>
        <v>47.824124690471052</v>
      </c>
      <c r="AB37" s="76">
        <f t="shared" ca="1" si="14"/>
        <v>48.740639781473753</v>
      </c>
      <c r="AC37" s="76">
        <f t="shared" ca="1" si="14"/>
        <v>49.702224155152578</v>
      </c>
      <c r="AD37" s="76">
        <f t="shared" ca="1" si="14"/>
        <v>50.589966604932741</v>
      </c>
      <c r="AE37" s="76">
        <f t="shared" ca="1" si="14"/>
        <v>51.415290381040954</v>
      </c>
      <c r="AF37" s="76">
        <f t="shared" ca="1" si="14"/>
        <v>52.35175010005473</v>
      </c>
      <c r="AG37" s="334">
        <f t="shared" ref="AG37" ca="1" si="15">AG20+AG35</f>
        <v>52.989532355421417</v>
      </c>
    </row>
    <row r="38" spans="1:33" ht="13.5" thickBot="1">
      <c r="A38" s="680"/>
      <c r="B38" s="680"/>
      <c r="C38" s="680"/>
      <c r="D38" s="680"/>
      <c r="E38" s="680"/>
      <c r="F38" s="680"/>
      <c r="G38" s="681"/>
      <c r="H38" s="658" t="s">
        <v>27</v>
      </c>
      <c r="I38" s="659"/>
      <c r="J38" s="659"/>
      <c r="K38" s="335">
        <f t="shared" ref="K38:AF38" si="16">K36-K37</f>
        <v>3.1732449852277611</v>
      </c>
      <c r="L38" s="336">
        <f t="shared" si="16"/>
        <v>3.1400963613968713</v>
      </c>
      <c r="M38" s="336">
        <f t="shared" si="16"/>
        <v>3.17567617750057</v>
      </c>
      <c r="N38" s="336">
        <f t="shared" ca="1" si="16"/>
        <v>3.2170119433271651</v>
      </c>
      <c r="O38" s="336">
        <f t="shared" ca="1" si="16"/>
        <v>3.2642895246490085</v>
      </c>
      <c r="P38" s="336">
        <f t="shared" ca="1" si="16"/>
        <v>3.3041436024587441</v>
      </c>
      <c r="Q38" s="336">
        <f t="shared" ca="1" si="16"/>
        <v>3.357877061781565</v>
      </c>
      <c r="R38" s="336">
        <f t="shared" ca="1" si="16"/>
        <v>3.4125523856680005</v>
      </c>
      <c r="S38" s="336">
        <f t="shared" ca="1" si="16"/>
        <v>3.4724642039943774</v>
      </c>
      <c r="T38" s="336">
        <f t="shared" ca="1" si="16"/>
        <v>3.5308348620022656</v>
      </c>
      <c r="U38" s="336">
        <f t="shared" ca="1" si="16"/>
        <v>3.5976439457265741</v>
      </c>
      <c r="V38" s="336">
        <f t="shared" ca="1" si="16"/>
        <v>3.6696162836855706</v>
      </c>
      <c r="W38" s="336">
        <f t="shared" ca="1" si="16"/>
        <v>3.7461394083693236</v>
      </c>
      <c r="X38" s="336">
        <f t="shared" ca="1" si="16"/>
        <v>3.8372981078247435</v>
      </c>
      <c r="Y38" s="336">
        <f t="shared" ca="1" si="16"/>
        <v>3.9172216521814178</v>
      </c>
      <c r="Z38" s="336">
        <f t="shared" ca="1" si="16"/>
        <v>4.0032210609174612</v>
      </c>
      <c r="AA38" s="336">
        <f t="shared" ca="1" si="16"/>
        <v>4.0747590696285485</v>
      </c>
      <c r="AB38" s="336">
        <f t="shared" ca="1" si="16"/>
        <v>4.1497732009617962</v>
      </c>
      <c r="AC38" s="336">
        <f t="shared" ca="1" si="16"/>
        <v>4.2284761238086261</v>
      </c>
      <c r="AD38" s="336">
        <f t="shared" ca="1" si="16"/>
        <v>4.3011352969871623</v>
      </c>
      <c r="AE38" s="336">
        <f t="shared" ca="1" si="16"/>
        <v>4.3686856807628445</v>
      </c>
      <c r="AF38" s="336">
        <f t="shared" ca="1" si="16"/>
        <v>4.4453322226910785</v>
      </c>
      <c r="AG38" s="337">
        <f t="shared" ref="AG38" ca="1" si="17">AG36-AG37</f>
        <v>4.4975328709245446</v>
      </c>
    </row>
    <row r="39" spans="1:33" ht="38.25">
      <c r="A39" s="35" t="s">
        <v>0</v>
      </c>
      <c r="B39" s="36" t="s">
        <v>1</v>
      </c>
      <c r="C39" s="36" t="s">
        <v>2</v>
      </c>
      <c r="D39" s="36" t="s">
        <v>3</v>
      </c>
    </row>
    <row r="40" spans="1:33" ht="13.5" thickBot="1">
      <c r="A40" s="37" t="s">
        <v>28</v>
      </c>
      <c r="B40" s="38">
        <f>'State Dairy Production Data'!AC25*'Milk Production by Herd Size'!$Q$28</f>
        <v>4040.0629722921917</v>
      </c>
      <c r="C40" s="38">
        <f>'State Dairy Production Data'!AD25</f>
        <v>21286</v>
      </c>
      <c r="D40" s="38">
        <f>'State Dairy Production Data'!AE25*1000000*'Milk Production by Herd Size'!$Q$28</f>
        <v>86323576.826196477</v>
      </c>
    </row>
    <row r="41" spans="1:33" ht="13.5" thickBot="1">
      <c r="A41" s="34" t="s">
        <v>6</v>
      </c>
      <c r="B41" s="39" t="s">
        <v>5</v>
      </c>
      <c r="C41" s="40">
        <f>'Milk Production by Herd Size'!D22</f>
        <v>0.83623718362371835</v>
      </c>
    </row>
    <row r="42" spans="1:33" ht="13.5" thickBot="1">
      <c r="B42" s="39" t="s">
        <v>7</v>
      </c>
      <c r="C42" s="66">
        <f>'Milk Production by Herd Size'!C22</f>
        <v>0.16376281637628165</v>
      </c>
      <c r="D42" s="43"/>
    </row>
    <row r="43" spans="1:33" ht="13.5" thickBot="1">
      <c r="A43" s="664" t="s">
        <v>8</v>
      </c>
      <c r="B43" s="665"/>
      <c r="C43" s="665"/>
      <c r="D43" s="665"/>
      <c r="E43" s="665"/>
      <c r="F43" s="665"/>
      <c r="G43" s="665"/>
      <c r="H43" s="665"/>
      <c r="I43" s="665"/>
      <c r="J43" s="666"/>
      <c r="K43" s="343">
        <v>2013</v>
      </c>
      <c r="L43" s="344">
        <v>2014</v>
      </c>
      <c r="M43" s="344">
        <v>2015</v>
      </c>
      <c r="N43" s="344">
        <v>2016</v>
      </c>
      <c r="O43" s="344">
        <v>2017</v>
      </c>
      <c r="P43" s="344">
        <v>2018</v>
      </c>
      <c r="Q43" s="344">
        <v>2019</v>
      </c>
      <c r="R43" s="344">
        <v>2020</v>
      </c>
      <c r="S43" s="344">
        <v>2021</v>
      </c>
      <c r="T43" s="344">
        <v>2022</v>
      </c>
      <c r="U43" s="344">
        <v>2023</v>
      </c>
      <c r="V43" s="344">
        <v>2024</v>
      </c>
      <c r="W43" s="344">
        <v>2025</v>
      </c>
      <c r="X43" s="344">
        <v>2026</v>
      </c>
      <c r="Y43" s="344">
        <v>2027</v>
      </c>
      <c r="Z43" s="344">
        <v>2028</v>
      </c>
      <c r="AA43" s="344">
        <v>2029</v>
      </c>
      <c r="AB43" s="344">
        <v>2030</v>
      </c>
      <c r="AC43" s="344">
        <v>2031</v>
      </c>
      <c r="AD43" s="344">
        <v>2032</v>
      </c>
      <c r="AE43" s="344">
        <v>2033</v>
      </c>
      <c r="AF43" s="344">
        <v>2034</v>
      </c>
      <c r="AG43" s="344">
        <v>2035</v>
      </c>
    </row>
    <row r="44" spans="1:33">
      <c r="A44" s="44" t="s">
        <v>9</v>
      </c>
      <c r="B44" s="45">
        <f>C41*B40</f>
        <v>3378.4508816120911</v>
      </c>
      <c r="C44" s="46"/>
      <c r="D44" s="46"/>
      <c r="E44" s="46"/>
      <c r="F44" s="45">
        <f>B44</f>
        <v>3378.4508816120911</v>
      </c>
      <c r="G44" s="46"/>
      <c r="H44" s="46"/>
      <c r="I44" s="46"/>
      <c r="J44" s="244" t="s">
        <v>11</v>
      </c>
      <c r="K44" s="321">
        <f t="shared" ref="K44:AF44" si="18">($B47*(K45/1000)/8760000)</f>
        <v>0.21988769330845756</v>
      </c>
      <c r="L44" s="322">
        <f t="shared" si="18"/>
        <v>0.22406085725753039</v>
      </c>
      <c r="M44" s="322">
        <f t="shared" si="18"/>
        <v>0.22395105622689904</v>
      </c>
      <c r="N44" s="322">
        <f t="shared" ca="1" si="18"/>
        <v>0.2238180759858901</v>
      </c>
      <c r="O44" s="322">
        <f t="shared" ca="1" si="18"/>
        <v>0.22426517069795818</v>
      </c>
      <c r="P44" s="322">
        <f t="shared" ca="1" si="18"/>
        <v>0.22426877771057888</v>
      </c>
      <c r="Q44" s="322">
        <f t="shared" ca="1" si="18"/>
        <v>0.224600887026084</v>
      </c>
      <c r="R44" s="322">
        <f t="shared" ca="1" si="18"/>
        <v>0.22446800792726493</v>
      </c>
      <c r="S44" s="322">
        <f t="shared" ca="1" si="18"/>
        <v>0.224341652119419</v>
      </c>
      <c r="T44" s="322">
        <f t="shared" ca="1" si="18"/>
        <v>0.22463743817884591</v>
      </c>
      <c r="U44" s="322">
        <f t="shared" ca="1" si="18"/>
        <v>0.22485232879736497</v>
      </c>
      <c r="V44" s="322">
        <f t="shared" ca="1" si="18"/>
        <v>0.22431394710698491</v>
      </c>
      <c r="W44" s="322">
        <f t="shared" ca="1" si="18"/>
        <v>0.22427888822274383</v>
      </c>
      <c r="X44" s="322">
        <f t="shared" ca="1" si="18"/>
        <v>0.22428130463338031</v>
      </c>
      <c r="Y44" s="322">
        <f t="shared" ca="1" si="18"/>
        <v>0.22288441787780364</v>
      </c>
      <c r="Z44" s="322">
        <f t="shared" ca="1" si="18"/>
        <v>0.22272592034226943</v>
      </c>
      <c r="AA44" s="322">
        <f t="shared" ca="1" si="18"/>
        <v>0.22241197645106353</v>
      </c>
      <c r="AB44" s="322">
        <f t="shared" ca="1" si="18"/>
        <v>0.22192418154579113</v>
      </c>
      <c r="AC44" s="322">
        <f t="shared" ca="1" si="18"/>
        <v>0.22133913237906294</v>
      </c>
      <c r="AD44" s="322">
        <f t="shared" ca="1" si="18"/>
        <v>0.2213381281616261</v>
      </c>
      <c r="AE44" s="322">
        <f t="shared" ca="1" si="18"/>
        <v>0.22049105640955721</v>
      </c>
      <c r="AF44" s="322">
        <f t="shared" ca="1" si="18"/>
        <v>0.2196694348549684</v>
      </c>
      <c r="AG44" s="323">
        <f t="shared" ref="AG44" ca="1" si="19">($B47*(AG45/1000)/8760000)</f>
        <v>0.21967845242480413</v>
      </c>
    </row>
    <row r="45" spans="1:33">
      <c r="A45" s="48" t="s">
        <v>3</v>
      </c>
      <c r="B45" s="49">
        <f>D40*C41</f>
        <v>72186984.765464216</v>
      </c>
      <c r="C45" s="46"/>
      <c r="D45" s="46"/>
      <c r="E45" s="46"/>
      <c r="F45" s="49">
        <f>B45</f>
        <v>72186984.765464216</v>
      </c>
      <c r="G45" s="46"/>
      <c r="H45" s="46"/>
      <c r="I45" s="46"/>
      <c r="J45" s="46"/>
      <c r="K45" s="324">
        <f>'[2]Dairy Forecast (Base Case)'!C$158*1000000-$F60</f>
        <v>75263407.939267725</v>
      </c>
      <c r="L45" s="324">
        <f>'[2]Dairy Forecast (Base Case)'!D$158*1000000-$F60</f>
        <v>76691803.207646444</v>
      </c>
      <c r="M45" s="324">
        <f>'[2]Dairy Forecast (Base Case)'!E$158*1000000-$F60</f>
        <v>76654220.386906371</v>
      </c>
      <c r="N45" s="38">
        <f ca="1">(INDEX([2]!tbl_Forecast,MATCH('SC-Retro'!$D$8&amp;'Input Assumptions'!$A$40&amp;"Dairy"&amp;'SC-Retro'!$D$7,[2]!rng_ForecastRowLookup,0),MATCH('Input Assumptions'!N$6,[2]!rng_ForecastColumnLookup,0))*1000000-$F60)</f>
        <v>76608703.759866774</v>
      </c>
      <c r="O45" s="38">
        <f ca="1">(INDEX([2]!tbl_Forecast,MATCH('SC-Retro'!$D$8&amp;'Input Assumptions'!$A$40&amp;"Dairy"&amp;'SC-Retro'!$D$7,[2]!rng_ForecastRowLookup,0),MATCH('Input Assumptions'!O$6,[2]!rng_ForecastColumnLookup,0))*1000000-$F60)</f>
        <v>76761735.842724949</v>
      </c>
      <c r="P45" s="38">
        <f ca="1">(INDEX([2]!tbl_Forecast,MATCH('SC-Retro'!$D$8&amp;'Input Assumptions'!$A$40&amp;"Dairy"&amp;'SC-Retro'!$D$7,[2]!rng_ForecastRowLookup,0),MATCH('Input Assumptions'!P$6,[2]!rng_ForecastColumnLookup,0))*1000000-$F60)</f>
        <v>76762970.45507741</v>
      </c>
      <c r="Q45" s="38">
        <f ca="1">(INDEX([2]!tbl_Forecast,MATCH('SC-Retro'!$D$8&amp;'Input Assumptions'!$A$40&amp;"Dairy"&amp;'SC-Retro'!$D$7,[2]!rng_ForecastRowLookup,0),MATCH('Input Assumptions'!Q$6,[2]!rng_ForecastColumnLookup,0))*1000000-$F60)</f>
        <v>76876645.206570789</v>
      </c>
      <c r="R45" s="38">
        <f ca="1">(INDEX([2]!tbl_Forecast,MATCH('SC-Retro'!$D$8&amp;'Input Assumptions'!$A$40&amp;"Dairy"&amp;'SC-Retro'!$D$7,[2]!rng_ForecastRowLookup,0),MATCH('Input Assumptions'!R$6,[2]!rng_ForecastColumnLookup,0))*1000000-$F60)</f>
        <v>76831163.198594138</v>
      </c>
      <c r="S45" s="38">
        <f ca="1">(INDEX([2]!tbl_Forecast,MATCH('SC-Retro'!$D$8&amp;'Input Assumptions'!$A$40&amp;"Dairy"&amp;'SC-Retro'!$D$7,[2]!rng_ForecastRowLookup,0),MATCH('Input Assumptions'!S$6,[2]!rng_ForecastColumnLookup,0))*1000000-$F60)</f>
        <v>76787913.990017191</v>
      </c>
      <c r="T45" s="38">
        <f ca="1">(INDEX([2]!tbl_Forecast,MATCH('SC-Retro'!$D$8&amp;'Input Assumptions'!$A$40&amp;"Dairy"&amp;'SC-Retro'!$D$7,[2]!rng_ForecastRowLookup,0),MATCH('Input Assumptions'!T$6,[2]!rng_ForecastColumnLookup,0))*1000000-$F60)</f>
        <v>76889155.976407781</v>
      </c>
      <c r="U45" s="38">
        <f ca="1">(INDEX([2]!tbl_Forecast,MATCH('SC-Retro'!$D$8&amp;'Input Assumptions'!$A$40&amp;"Dairy"&amp;'SC-Retro'!$D$7,[2]!rng_ForecastRowLookup,0),MATCH('Input Assumptions'!U$6,[2]!rng_ForecastColumnLookup,0))*1000000-$F60)</f>
        <v>76962708.979945973</v>
      </c>
      <c r="V45" s="38">
        <f ca="1">(INDEX([2]!tbl_Forecast,MATCH('SC-Retro'!$D$8&amp;'Input Assumptions'!$A$40&amp;"Dairy"&amp;'SC-Retro'!$D$7,[2]!rng_ForecastRowLookup,0),MATCH('Input Assumptions'!V$6,[2]!rng_ForecastColumnLookup,0))*1000000-$F60)</f>
        <v>76778431.087079704</v>
      </c>
      <c r="W45" s="38">
        <f ca="1">(INDEX([2]!tbl_Forecast,MATCH('SC-Retro'!$D$8&amp;'Input Assumptions'!$A$40&amp;"Dairy"&amp;'SC-Retro'!$D$7,[2]!rng_ForecastRowLookup,0),MATCH('Input Assumptions'!W$6,[2]!rng_ForecastColumnLookup,0))*1000000-$F60)</f>
        <v>76766431.092596933</v>
      </c>
      <c r="X45" s="38">
        <f ca="1">(INDEX([2]!tbl_Forecast,MATCH('SC-Retro'!$D$8&amp;'Input Assumptions'!$A$40&amp;"Dairy"&amp;'SC-Retro'!$D$7,[2]!rng_ForecastRowLookup,0),MATCH('Input Assumptions'!X$6,[2]!rng_ForecastColumnLookup,0))*1000000-$F60)</f>
        <v>76767258.184357941</v>
      </c>
      <c r="Y45" s="38">
        <f ca="1">(INDEX([2]!tbl_Forecast,MATCH('SC-Retro'!$D$8&amp;'Input Assumptions'!$A$40&amp;"Dairy"&amp;'SC-Retro'!$D$7,[2]!rng_ForecastRowLookup,0),MATCH('Input Assumptions'!Y$6,[2]!rng_ForecastColumnLookup,0))*1000000-$F60)</f>
        <v>76289130.208444148</v>
      </c>
      <c r="Z45" s="38">
        <f ca="1">(INDEX([2]!tbl_Forecast,MATCH('SC-Retro'!$D$8&amp;'Input Assumptions'!$A$40&amp;"Dairy"&amp;'SC-Retro'!$D$7,[2]!rng_ForecastRowLookup,0),MATCH('Input Assumptions'!Z$6,[2]!rng_ForecastColumnLookup,0))*1000000-$F60)</f>
        <v>76234879.493023038</v>
      </c>
      <c r="AA45" s="38">
        <f ca="1">(INDEX([2]!tbl_Forecast,MATCH('SC-Retro'!$D$8&amp;'Input Assumptions'!$A$40&amp;"Dairy"&amp;'SC-Retro'!$D$7,[2]!rng_ForecastRowLookup,0),MATCH('Input Assumptions'!AA$6,[2]!rng_ForecastColumnLookup,0))*1000000-$F60)</f>
        <v>76127422.423469231</v>
      </c>
      <c r="AB45" s="38">
        <f ca="1">(INDEX([2]!tbl_Forecast,MATCH('SC-Retro'!$D$8&amp;'Input Assumptions'!$A$40&amp;"Dairy"&amp;'SC-Retro'!$D$7,[2]!rng_ForecastRowLookup,0),MATCH('Input Assumptions'!AB$6,[2]!rng_ForecastColumnLookup,0))*1000000-$F60)</f>
        <v>75960459.432526797</v>
      </c>
      <c r="AC45" s="38">
        <f ca="1">(INDEX([2]!tbl_Forecast,MATCH('SC-Retro'!$D$8&amp;'Input Assumptions'!$A$40&amp;"Dairy"&amp;'SC-Retro'!$D$7,[2]!rng_ForecastRowLookup,0),MATCH('Input Assumptions'!AC$6,[2]!rng_ForecastColumnLookup,0))*1000000-$F60)</f>
        <v>75760208.143164173</v>
      </c>
      <c r="AD45" s="38">
        <f ca="1">(INDEX([2]!tbl_Forecast,MATCH('SC-Retro'!$D$8&amp;'Input Assumptions'!$A$40&amp;"Dairy"&amp;'SC-Retro'!$D$7,[2]!rng_ForecastRowLookup,0),MATCH('Input Assumptions'!AD$6,[2]!rng_ForecastColumnLookup,0))*1000000-$F60)</f>
        <v>75759864.418486029</v>
      </c>
      <c r="AE45" s="38">
        <f ca="1">(INDEX([2]!tbl_Forecast,MATCH('SC-Retro'!$D$8&amp;'Input Assumptions'!$A$40&amp;"Dairy"&amp;'SC-Retro'!$D$7,[2]!rng_ForecastRowLookup,0),MATCH('Input Assumptions'!AE$6,[2]!rng_ForecastColumnLookup,0))*1000000-$F60)</f>
        <v>75469927.742765144</v>
      </c>
      <c r="AF45" s="38">
        <f ca="1">(INDEX([2]!tbl_Forecast,MATCH('SC-Retro'!$D$8&amp;'Input Assumptions'!$A$40&amp;"Dairy"&amp;'SC-Retro'!$D$7,[2]!rng_ForecastRowLookup,0),MATCH('Input Assumptions'!AF$6,[2]!rng_ForecastColumnLookup,0))*1000000-$F60)</f>
        <v>75188702.189373359</v>
      </c>
      <c r="AG45" s="38">
        <f ca="1">(INDEX([2]!tbl_Forecast,MATCH('SC-Retro'!$D$8&amp;'Input Assumptions'!$A$40&amp;"Dairy"&amp;'SC-Retro'!$D$7,[2]!rng_ForecastRowLookup,0),MATCH('Input Assumptions'!AG$6,[2]!rng_ForecastColumnLookup,0))*1000000-$F60)</f>
        <v>75191788.733358413</v>
      </c>
    </row>
    <row r="46" spans="1:33">
      <c r="A46" s="48" t="s">
        <v>12</v>
      </c>
      <c r="B46" s="49">
        <f>C40</f>
        <v>21286</v>
      </c>
      <c r="C46" s="46"/>
      <c r="D46" s="46"/>
      <c r="E46" s="46"/>
      <c r="F46" s="49">
        <f>B46</f>
        <v>21286</v>
      </c>
      <c r="G46" s="51"/>
      <c r="H46" s="51"/>
      <c r="I46" s="51"/>
      <c r="J46" s="51"/>
      <c r="K46" s="182">
        <f t="shared" ref="K46:T55" si="20">$F46</f>
        <v>21286</v>
      </c>
      <c r="L46" s="49">
        <f t="shared" si="20"/>
        <v>21286</v>
      </c>
      <c r="M46" s="49">
        <f t="shared" si="20"/>
        <v>21286</v>
      </c>
      <c r="N46" s="49">
        <f t="shared" si="20"/>
        <v>21286</v>
      </c>
      <c r="O46" s="49">
        <f t="shared" si="20"/>
        <v>21286</v>
      </c>
      <c r="P46" s="49">
        <f t="shared" si="20"/>
        <v>21286</v>
      </c>
      <c r="Q46" s="49">
        <f t="shared" si="20"/>
        <v>21286</v>
      </c>
      <c r="R46" s="49">
        <f t="shared" si="20"/>
        <v>21286</v>
      </c>
      <c r="S46" s="49">
        <f t="shared" si="20"/>
        <v>21286</v>
      </c>
      <c r="T46" s="49">
        <f t="shared" si="20"/>
        <v>21286</v>
      </c>
      <c r="U46" s="49">
        <f t="shared" ref="U46:AG55" si="21">$F46</f>
        <v>21286</v>
      </c>
      <c r="V46" s="49">
        <f t="shared" si="21"/>
        <v>21286</v>
      </c>
      <c r="W46" s="49">
        <f t="shared" si="21"/>
        <v>21286</v>
      </c>
      <c r="X46" s="49">
        <f t="shared" si="21"/>
        <v>21286</v>
      </c>
      <c r="Y46" s="49">
        <f t="shared" si="21"/>
        <v>21286</v>
      </c>
      <c r="Z46" s="49">
        <f t="shared" si="21"/>
        <v>21286</v>
      </c>
      <c r="AA46" s="49">
        <f t="shared" si="21"/>
        <v>21286</v>
      </c>
      <c r="AB46" s="49">
        <f t="shared" si="21"/>
        <v>21286</v>
      </c>
      <c r="AC46" s="49">
        <f t="shared" si="21"/>
        <v>21286</v>
      </c>
      <c r="AD46" s="49">
        <f t="shared" si="21"/>
        <v>21286</v>
      </c>
      <c r="AE46" s="49">
        <f t="shared" si="21"/>
        <v>21286</v>
      </c>
      <c r="AF46" s="49">
        <f t="shared" si="21"/>
        <v>21286</v>
      </c>
      <c r="AG46" s="183">
        <f t="shared" si="21"/>
        <v>21286</v>
      </c>
    </row>
    <row r="47" spans="1:33" ht="13.5" thickBot="1">
      <c r="A47" s="48" t="s">
        <v>278</v>
      </c>
      <c r="B47" s="52">
        <f>('Input Assumptions'!B$9/'EUI by End Use'!AE$3)*'EUI by End Use'!AG$3</f>
        <v>25.592997262845305</v>
      </c>
      <c r="C47" s="46"/>
      <c r="D47" s="46"/>
      <c r="E47" s="46"/>
      <c r="F47" s="52">
        <f>SUM(F48:F55)</f>
        <v>23.656759364214729</v>
      </c>
      <c r="G47" s="52">
        <f t="shared" ref="G47:G57" si="22">B47-F47</f>
        <v>1.9362378986305764</v>
      </c>
      <c r="H47" s="46"/>
      <c r="I47" s="46"/>
      <c r="J47" s="46"/>
      <c r="K47" s="325">
        <f t="shared" si="20"/>
        <v>23.656759364214729</v>
      </c>
      <c r="L47" s="53">
        <f t="shared" si="20"/>
        <v>23.656759364214729</v>
      </c>
      <c r="M47" s="53">
        <f t="shared" si="20"/>
        <v>23.656759364214729</v>
      </c>
      <c r="N47" s="53">
        <f t="shared" si="20"/>
        <v>23.656759364214729</v>
      </c>
      <c r="O47" s="53">
        <f t="shared" si="20"/>
        <v>23.656759364214729</v>
      </c>
      <c r="P47" s="53">
        <f t="shared" si="20"/>
        <v>23.656759364214729</v>
      </c>
      <c r="Q47" s="53">
        <f t="shared" si="20"/>
        <v>23.656759364214729</v>
      </c>
      <c r="R47" s="53">
        <f t="shared" si="20"/>
        <v>23.656759364214729</v>
      </c>
      <c r="S47" s="53">
        <f t="shared" si="20"/>
        <v>23.656759364214729</v>
      </c>
      <c r="T47" s="53">
        <f t="shared" si="20"/>
        <v>23.656759364214729</v>
      </c>
      <c r="U47" s="53">
        <f t="shared" si="21"/>
        <v>23.656759364214729</v>
      </c>
      <c r="V47" s="53">
        <f t="shared" si="21"/>
        <v>23.656759364214729</v>
      </c>
      <c r="W47" s="53">
        <f t="shared" si="21"/>
        <v>23.656759364214729</v>
      </c>
      <c r="X47" s="53">
        <f t="shared" si="21"/>
        <v>23.656759364214729</v>
      </c>
      <c r="Y47" s="53">
        <f t="shared" si="21"/>
        <v>23.656759364214729</v>
      </c>
      <c r="Z47" s="53">
        <f t="shared" si="21"/>
        <v>23.656759364214729</v>
      </c>
      <c r="AA47" s="53">
        <f t="shared" si="21"/>
        <v>23.656759364214729</v>
      </c>
      <c r="AB47" s="53">
        <f t="shared" si="21"/>
        <v>23.656759364214729</v>
      </c>
      <c r="AC47" s="53">
        <f t="shared" si="21"/>
        <v>23.656759364214729</v>
      </c>
      <c r="AD47" s="53">
        <f t="shared" si="21"/>
        <v>23.656759364214729</v>
      </c>
      <c r="AE47" s="53">
        <f t="shared" si="21"/>
        <v>23.656759364214729</v>
      </c>
      <c r="AF47" s="53">
        <f t="shared" si="21"/>
        <v>23.656759364214729</v>
      </c>
      <c r="AG47" s="326">
        <f t="shared" si="21"/>
        <v>23.656759364214729</v>
      </c>
    </row>
    <row r="48" spans="1:33">
      <c r="A48" s="396" t="s">
        <v>271</v>
      </c>
      <c r="B48" s="397">
        <f>('Input Assumptions'!B$9/'EUI by End Use'!AE$3)*'EUI by End Use'!AH$3</f>
        <v>3.6882356967616712</v>
      </c>
      <c r="C48" s="238"/>
      <c r="D48" s="238"/>
      <c r="E48" s="238"/>
      <c r="F48" s="397">
        <f>('Input Assumptions'!$B$9/'EUI by End Use'!AE$3)*'EUI by End Use'!AW$3</f>
        <v>2.8519565503167708</v>
      </c>
      <c r="G48" s="398">
        <f t="shared" si="22"/>
        <v>0.83627914644490042</v>
      </c>
      <c r="H48" s="311"/>
      <c r="I48" s="311"/>
      <c r="J48" s="46"/>
      <c r="K48" s="327">
        <f t="shared" si="20"/>
        <v>2.8519565503167708</v>
      </c>
      <c r="L48" s="320">
        <f t="shared" si="20"/>
        <v>2.8519565503167708</v>
      </c>
      <c r="M48" s="320">
        <f t="shared" si="20"/>
        <v>2.8519565503167708</v>
      </c>
      <c r="N48" s="320">
        <f t="shared" si="20"/>
        <v>2.8519565503167708</v>
      </c>
      <c r="O48" s="320">
        <f t="shared" si="20"/>
        <v>2.8519565503167708</v>
      </c>
      <c r="P48" s="320">
        <f t="shared" si="20"/>
        <v>2.8519565503167708</v>
      </c>
      <c r="Q48" s="320">
        <f t="shared" si="20"/>
        <v>2.8519565503167708</v>
      </c>
      <c r="R48" s="320">
        <f t="shared" si="20"/>
        <v>2.8519565503167708</v>
      </c>
      <c r="S48" s="320">
        <f t="shared" si="20"/>
        <v>2.8519565503167708</v>
      </c>
      <c r="T48" s="320">
        <f t="shared" si="20"/>
        <v>2.8519565503167708</v>
      </c>
      <c r="U48" s="320">
        <f t="shared" si="21"/>
        <v>2.8519565503167708</v>
      </c>
      <c r="V48" s="320">
        <f t="shared" si="21"/>
        <v>2.8519565503167708</v>
      </c>
      <c r="W48" s="320">
        <f t="shared" si="21"/>
        <v>2.8519565503167708</v>
      </c>
      <c r="X48" s="320">
        <f t="shared" si="21"/>
        <v>2.8519565503167708</v>
      </c>
      <c r="Y48" s="320">
        <f t="shared" si="21"/>
        <v>2.8519565503167708</v>
      </c>
      <c r="Z48" s="320">
        <f t="shared" si="21"/>
        <v>2.8519565503167708</v>
      </c>
      <c r="AA48" s="320">
        <f t="shared" si="21"/>
        <v>2.8519565503167708</v>
      </c>
      <c r="AB48" s="320">
        <f t="shared" si="21"/>
        <v>2.8519565503167708</v>
      </c>
      <c r="AC48" s="320">
        <f t="shared" si="21"/>
        <v>2.8519565503167708</v>
      </c>
      <c r="AD48" s="320">
        <f t="shared" si="21"/>
        <v>2.8519565503167708</v>
      </c>
      <c r="AE48" s="320">
        <f t="shared" si="21"/>
        <v>2.8519565503167708</v>
      </c>
      <c r="AF48" s="320">
        <f t="shared" si="21"/>
        <v>2.8519565503167708</v>
      </c>
      <c r="AG48" s="328">
        <f t="shared" si="21"/>
        <v>2.8519565503167708</v>
      </c>
    </row>
    <row r="49" spans="1:33">
      <c r="A49" s="48" t="s">
        <v>272</v>
      </c>
      <c r="B49" s="52">
        <f>('Input Assumptions'!B$9/'EUI by End Use'!AE$3)*'EUI by End Use'!AI$3</f>
        <v>5.6284064145770918</v>
      </c>
      <c r="C49" s="46"/>
      <c r="D49" s="46"/>
      <c r="E49" s="46"/>
      <c r="F49" s="52">
        <f>('Input Assumptions'!$B$9/'EUI by End Use'!AE$3)*'EUI by End Use'!AX$3</f>
        <v>4.8102681496237576</v>
      </c>
      <c r="G49" s="332">
        <f t="shared" si="22"/>
        <v>0.81813826495333419</v>
      </c>
      <c r="H49" s="311"/>
      <c r="I49" s="311"/>
      <c r="J49" s="46"/>
      <c r="K49" s="327">
        <f t="shared" si="20"/>
        <v>4.8102681496237576</v>
      </c>
      <c r="L49" s="320">
        <f t="shared" si="20"/>
        <v>4.8102681496237576</v>
      </c>
      <c r="M49" s="320">
        <f t="shared" si="20"/>
        <v>4.8102681496237576</v>
      </c>
      <c r="N49" s="320">
        <f t="shared" si="20"/>
        <v>4.8102681496237576</v>
      </c>
      <c r="O49" s="320">
        <f t="shared" si="20"/>
        <v>4.8102681496237576</v>
      </c>
      <c r="P49" s="320">
        <f t="shared" si="20"/>
        <v>4.8102681496237576</v>
      </c>
      <c r="Q49" s="320">
        <f t="shared" si="20"/>
        <v>4.8102681496237576</v>
      </c>
      <c r="R49" s="320">
        <f t="shared" si="20"/>
        <v>4.8102681496237576</v>
      </c>
      <c r="S49" s="320">
        <f t="shared" si="20"/>
        <v>4.8102681496237576</v>
      </c>
      <c r="T49" s="320">
        <f t="shared" si="20"/>
        <v>4.8102681496237576</v>
      </c>
      <c r="U49" s="320">
        <f t="shared" si="21"/>
        <v>4.8102681496237576</v>
      </c>
      <c r="V49" s="320">
        <f t="shared" si="21"/>
        <v>4.8102681496237576</v>
      </c>
      <c r="W49" s="320">
        <f t="shared" si="21"/>
        <v>4.8102681496237576</v>
      </c>
      <c r="X49" s="320">
        <f t="shared" si="21"/>
        <v>4.8102681496237576</v>
      </c>
      <c r="Y49" s="320">
        <f t="shared" si="21"/>
        <v>4.8102681496237576</v>
      </c>
      <c r="Z49" s="320">
        <f t="shared" si="21"/>
        <v>4.8102681496237576</v>
      </c>
      <c r="AA49" s="320">
        <f t="shared" si="21"/>
        <v>4.8102681496237576</v>
      </c>
      <c r="AB49" s="320">
        <f t="shared" si="21"/>
        <v>4.8102681496237576</v>
      </c>
      <c r="AC49" s="320">
        <f t="shared" si="21"/>
        <v>4.8102681496237576</v>
      </c>
      <c r="AD49" s="320">
        <f t="shared" si="21"/>
        <v>4.8102681496237576</v>
      </c>
      <c r="AE49" s="320">
        <f t="shared" si="21"/>
        <v>4.8102681496237576</v>
      </c>
      <c r="AF49" s="320">
        <f t="shared" si="21"/>
        <v>4.8102681496237576</v>
      </c>
      <c r="AG49" s="328">
        <f t="shared" si="21"/>
        <v>4.8102681496237576</v>
      </c>
    </row>
    <row r="50" spans="1:33" ht="13.5" thickBot="1">
      <c r="A50" s="399" t="s">
        <v>273</v>
      </c>
      <c r="B50" s="400">
        <f>('Input Assumptions'!B$9/'EUI by End Use'!AE$3)*'EUI by End Use'!AJ$3</f>
        <v>5.6272274293947655</v>
      </c>
      <c r="C50" s="64"/>
      <c r="D50" s="64"/>
      <c r="E50" s="64"/>
      <c r="F50" s="400">
        <f>('Input Assumptions'!$B$9/'EUI by End Use'!AE$3)*'EUI by End Use'!AY$3</f>
        <v>5.3454069421624206</v>
      </c>
      <c r="G50" s="401">
        <f t="shared" si="22"/>
        <v>0.28182048723234487</v>
      </c>
      <c r="H50" s="311"/>
      <c r="I50" s="311"/>
      <c r="J50" s="46"/>
      <c r="K50" s="327">
        <f t="shared" si="20"/>
        <v>5.3454069421624206</v>
      </c>
      <c r="L50" s="320">
        <f t="shared" si="20"/>
        <v>5.3454069421624206</v>
      </c>
      <c r="M50" s="320">
        <f t="shared" si="20"/>
        <v>5.3454069421624206</v>
      </c>
      <c r="N50" s="320">
        <f t="shared" si="20"/>
        <v>5.3454069421624206</v>
      </c>
      <c r="O50" s="320">
        <f t="shared" si="20"/>
        <v>5.3454069421624206</v>
      </c>
      <c r="P50" s="320">
        <f t="shared" si="20"/>
        <v>5.3454069421624206</v>
      </c>
      <c r="Q50" s="320">
        <f t="shared" si="20"/>
        <v>5.3454069421624206</v>
      </c>
      <c r="R50" s="320">
        <f t="shared" si="20"/>
        <v>5.3454069421624206</v>
      </c>
      <c r="S50" s="320">
        <f t="shared" si="20"/>
        <v>5.3454069421624206</v>
      </c>
      <c r="T50" s="320">
        <f t="shared" si="20"/>
        <v>5.3454069421624206</v>
      </c>
      <c r="U50" s="320">
        <f t="shared" si="21"/>
        <v>5.3454069421624206</v>
      </c>
      <c r="V50" s="320">
        <f t="shared" si="21"/>
        <v>5.3454069421624206</v>
      </c>
      <c r="W50" s="320">
        <f t="shared" si="21"/>
        <v>5.3454069421624206</v>
      </c>
      <c r="X50" s="320">
        <f t="shared" si="21"/>
        <v>5.3454069421624206</v>
      </c>
      <c r="Y50" s="320">
        <f t="shared" si="21"/>
        <v>5.3454069421624206</v>
      </c>
      <c r="Z50" s="320">
        <f t="shared" si="21"/>
        <v>5.3454069421624206</v>
      </c>
      <c r="AA50" s="320">
        <f t="shared" si="21"/>
        <v>5.3454069421624206</v>
      </c>
      <c r="AB50" s="320">
        <f t="shared" si="21"/>
        <v>5.3454069421624206</v>
      </c>
      <c r="AC50" s="320">
        <f t="shared" si="21"/>
        <v>5.3454069421624206</v>
      </c>
      <c r="AD50" s="320">
        <f t="shared" si="21"/>
        <v>5.3454069421624206</v>
      </c>
      <c r="AE50" s="320">
        <f t="shared" si="21"/>
        <v>5.3454069421624206</v>
      </c>
      <c r="AF50" s="320">
        <f t="shared" si="21"/>
        <v>5.3454069421624206</v>
      </c>
      <c r="AG50" s="328">
        <f t="shared" si="21"/>
        <v>5.3454069421624206</v>
      </c>
    </row>
    <row r="51" spans="1:33">
      <c r="A51" s="48" t="s">
        <v>274</v>
      </c>
      <c r="B51" s="52">
        <f>('Input Assumptions'!B$9/'EUI by End Use'!AE$3)*'EUI by End Use'!AK$3</f>
        <v>4.7444343055011418</v>
      </c>
      <c r="C51" s="46"/>
      <c r="D51" s="46"/>
      <c r="E51" s="46"/>
      <c r="F51" s="52">
        <f>('Input Assumptions'!$B$9/'EUI by End Use'!AE$3)*'EUI by End Use'!AZ$3</f>
        <v>4.7444343055011418</v>
      </c>
      <c r="G51" s="52">
        <f t="shared" si="22"/>
        <v>0</v>
      </c>
      <c r="H51" s="46"/>
      <c r="I51" s="46"/>
      <c r="J51" s="46"/>
      <c r="K51" s="325">
        <f t="shared" si="20"/>
        <v>4.7444343055011418</v>
      </c>
      <c r="L51" s="53">
        <f t="shared" si="20"/>
        <v>4.7444343055011418</v>
      </c>
      <c r="M51" s="53">
        <f t="shared" si="20"/>
        <v>4.7444343055011418</v>
      </c>
      <c r="N51" s="53">
        <f t="shared" si="20"/>
        <v>4.7444343055011418</v>
      </c>
      <c r="O51" s="53">
        <f t="shared" si="20"/>
        <v>4.7444343055011418</v>
      </c>
      <c r="P51" s="53">
        <f t="shared" si="20"/>
        <v>4.7444343055011418</v>
      </c>
      <c r="Q51" s="53">
        <f t="shared" si="20"/>
        <v>4.7444343055011418</v>
      </c>
      <c r="R51" s="53">
        <f t="shared" si="20"/>
        <v>4.7444343055011418</v>
      </c>
      <c r="S51" s="53">
        <f t="shared" si="20"/>
        <v>4.7444343055011418</v>
      </c>
      <c r="T51" s="53">
        <f t="shared" si="20"/>
        <v>4.7444343055011418</v>
      </c>
      <c r="U51" s="53">
        <f t="shared" si="21"/>
        <v>4.7444343055011418</v>
      </c>
      <c r="V51" s="53">
        <f t="shared" si="21"/>
        <v>4.7444343055011418</v>
      </c>
      <c r="W51" s="53">
        <f t="shared" si="21"/>
        <v>4.7444343055011418</v>
      </c>
      <c r="X51" s="53">
        <f t="shared" si="21"/>
        <v>4.7444343055011418</v>
      </c>
      <c r="Y51" s="53">
        <f t="shared" si="21"/>
        <v>4.7444343055011418</v>
      </c>
      <c r="Z51" s="53">
        <f t="shared" si="21"/>
        <v>4.7444343055011418</v>
      </c>
      <c r="AA51" s="53">
        <f t="shared" si="21"/>
        <v>4.7444343055011418</v>
      </c>
      <c r="AB51" s="53">
        <f t="shared" si="21"/>
        <v>4.7444343055011418</v>
      </c>
      <c r="AC51" s="53">
        <f t="shared" si="21"/>
        <v>4.7444343055011418</v>
      </c>
      <c r="AD51" s="53">
        <f t="shared" si="21"/>
        <v>4.7444343055011418</v>
      </c>
      <c r="AE51" s="53">
        <f t="shared" si="21"/>
        <v>4.7444343055011418</v>
      </c>
      <c r="AF51" s="53">
        <f t="shared" si="21"/>
        <v>4.7444343055011418</v>
      </c>
      <c r="AG51" s="326">
        <f t="shared" si="21"/>
        <v>4.7444343055011418</v>
      </c>
    </row>
    <row r="52" spans="1:33">
      <c r="A52" s="48" t="s">
        <v>275</v>
      </c>
      <c r="B52" s="52">
        <f>('Input Assumptions'!B$9/'EUI by End Use'!AE$3)*'EUI by End Use'!AL$3</f>
        <v>0.30148458315655136</v>
      </c>
      <c r="C52" s="46"/>
      <c r="D52" s="46"/>
      <c r="E52" s="46"/>
      <c r="F52" s="52">
        <f>('Input Assumptions'!$B$9/'EUI by End Use'!AE$3)*'EUI by End Use'!BA$3</f>
        <v>0.30148458315655136</v>
      </c>
      <c r="G52" s="52">
        <f t="shared" si="22"/>
        <v>0</v>
      </c>
      <c r="H52" s="46"/>
      <c r="I52" s="46"/>
      <c r="J52" s="46"/>
      <c r="K52" s="325">
        <f t="shared" si="20"/>
        <v>0.30148458315655136</v>
      </c>
      <c r="L52" s="53">
        <f t="shared" si="20"/>
        <v>0.30148458315655136</v>
      </c>
      <c r="M52" s="53">
        <f t="shared" si="20"/>
        <v>0.30148458315655136</v>
      </c>
      <c r="N52" s="53">
        <f t="shared" si="20"/>
        <v>0.30148458315655136</v>
      </c>
      <c r="O52" s="53">
        <f t="shared" si="20"/>
        <v>0.30148458315655136</v>
      </c>
      <c r="P52" s="53">
        <f t="shared" si="20"/>
        <v>0.30148458315655136</v>
      </c>
      <c r="Q52" s="53">
        <f t="shared" si="20"/>
        <v>0.30148458315655136</v>
      </c>
      <c r="R52" s="53">
        <f t="shared" si="20"/>
        <v>0.30148458315655136</v>
      </c>
      <c r="S52" s="53">
        <f t="shared" si="20"/>
        <v>0.30148458315655136</v>
      </c>
      <c r="T52" s="53">
        <f t="shared" si="20"/>
        <v>0.30148458315655136</v>
      </c>
      <c r="U52" s="53">
        <f t="shared" si="21"/>
        <v>0.30148458315655136</v>
      </c>
      <c r="V52" s="53">
        <f t="shared" si="21"/>
        <v>0.30148458315655136</v>
      </c>
      <c r="W52" s="53">
        <f t="shared" si="21"/>
        <v>0.30148458315655136</v>
      </c>
      <c r="X52" s="53">
        <f t="shared" si="21"/>
        <v>0.30148458315655136</v>
      </c>
      <c r="Y52" s="53">
        <f t="shared" si="21"/>
        <v>0.30148458315655136</v>
      </c>
      <c r="Z52" s="53">
        <f t="shared" si="21"/>
        <v>0.30148458315655136</v>
      </c>
      <c r="AA52" s="53">
        <f t="shared" si="21"/>
        <v>0.30148458315655136</v>
      </c>
      <c r="AB52" s="53">
        <f t="shared" si="21"/>
        <v>0.30148458315655136</v>
      </c>
      <c r="AC52" s="53">
        <f t="shared" si="21"/>
        <v>0.30148458315655136</v>
      </c>
      <c r="AD52" s="53">
        <f t="shared" si="21"/>
        <v>0.30148458315655136</v>
      </c>
      <c r="AE52" s="53">
        <f t="shared" si="21"/>
        <v>0.30148458315655136</v>
      </c>
      <c r="AF52" s="53">
        <f t="shared" si="21"/>
        <v>0.30148458315655136</v>
      </c>
      <c r="AG52" s="326">
        <f t="shared" si="21"/>
        <v>0.30148458315655136</v>
      </c>
    </row>
    <row r="53" spans="1:33">
      <c r="A53" s="48" t="s">
        <v>276</v>
      </c>
      <c r="B53" s="52">
        <f>('Input Assumptions'!B$9/'EUI by End Use'!AE$3)*'EUI by End Use'!AM$3</f>
        <v>0.94135512510335062</v>
      </c>
      <c r="C53" s="46"/>
      <c r="D53" s="46"/>
      <c r="E53" s="46"/>
      <c r="F53" s="52">
        <f>('Input Assumptions'!$B$9/'EUI by End Use'!AE$3)*'EUI by End Use'!BB$3</f>
        <v>0.94135512510335062</v>
      </c>
      <c r="G53" s="52">
        <f t="shared" si="22"/>
        <v>0</v>
      </c>
      <c r="H53" s="46"/>
      <c r="I53" s="46"/>
      <c r="J53" s="46"/>
      <c r="K53" s="325">
        <f t="shared" si="20"/>
        <v>0.94135512510335062</v>
      </c>
      <c r="L53" s="53">
        <f t="shared" si="20"/>
        <v>0.94135512510335062</v>
      </c>
      <c r="M53" s="53">
        <f t="shared" si="20"/>
        <v>0.94135512510335062</v>
      </c>
      <c r="N53" s="53">
        <f t="shared" si="20"/>
        <v>0.94135512510335062</v>
      </c>
      <c r="O53" s="53">
        <f t="shared" si="20"/>
        <v>0.94135512510335062</v>
      </c>
      <c r="P53" s="53">
        <f t="shared" si="20"/>
        <v>0.94135512510335062</v>
      </c>
      <c r="Q53" s="53">
        <f t="shared" si="20"/>
        <v>0.94135512510335062</v>
      </c>
      <c r="R53" s="53">
        <f t="shared" si="20"/>
        <v>0.94135512510335062</v>
      </c>
      <c r="S53" s="53">
        <f t="shared" si="20"/>
        <v>0.94135512510335062</v>
      </c>
      <c r="T53" s="53">
        <f t="shared" si="20"/>
        <v>0.94135512510335062</v>
      </c>
      <c r="U53" s="53">
        <f t="shared" si="21"/>
        <v>0.94135512510335062</v>
      </c>
      <c r="V53" s="53">
        <f t="shared" si="21"/>
        <v>0.94135512510335062</v>
      </c>
      <c r="W53" s="53">
        <f t="shared" si="21"/>
        <v>0.94135512510335062</v>
      </c>
      <c r="X53" s="53">
        <f t="shared" si="21"/>
        <v>0.94135512510335062</v>
      </c>
      <c r="Y53" s="53">
        <f t="shared" si="21"/>
        <v>0.94135512510335062</v>
      </c>
      <c r="Z53" s="53">
        <f t="shared" si="21"/>
        <v>0.94135512510335062</v>
      </c>
      <c r="AA53" s="53">
        <f t="shared" si="21"/>
        <v>0.94135512510335062</v>
      </c>
      <c r="AB53" s="53">
        <f t="shared" si="21"/>
        <v>0.94135512510335062</v>
      </c>
      <c r="AC53" s="53">
        <f t="shared" si="21"/>
        <v>0.94135512510335062</v>
      </c>
      <c r="AD53" s="53">
        <f t="shared" si="21"/>
        <v>0.94135512510335062</v>
      </c>
      <c r="AE53" s="53">
        <f t="shared" si="21"/>
        <v>0.94135512510335062</v>
      </c>
      <c r="AF53" s="53">
        <f t="shared" si="21"/>
        <v>0.94135512510335062</v>
      </c>
      <c r="AG53" s="326">
        <f t="shared" si="21"/>
        <v>0.94135512510335062</v>
      </c>
    </row>
    <row r="54" spans="1:33">
      <c r="A54" s="48" t="s">
        <v>277</v>
      </c>
      <c r="B54" s="52">
        <f>('Input Assumptions'!B$9/'EUI by End Use'!AE$3)*'EUI by End Use'!AN$3</f>
        <v>0.57899359902870939</v>
      </c>
      <c r="C54" s="46"/>
      <c r="D54" s="46"/>
      <c r="E54" s="46"/>
      <c r="F54" s="52">
        <f>('Input Assumptions'!$B$9/'EUI by End Use'!AE$3)*'EUI by End Use'!BC$3</f>
        <v>0.57899359902870939</v>
      </c>
      <c r="G54" s="52">
        <f t="shared" si="22"/>
        <v>0</v>
      </c>
      <c r="H54" s="46"/>
      <c r="I54" s="46"/>
      <c r="J54" s="46"/>
      <c r="K54" s="325">
        <f t="shared" si="20"/>
        <v>0.57899359902870939</v>
      </c>
      <c r="L54" s="53">
        <f t="shared" si="20"/>
        <v>0.57899359902870939</v>
      </c>
      <c r="M54" s="53">
        <f t="shared" si="20"/>
        <v>0.57899359902870939</v>
      </c>
      <c r="N54" s="53">
        <f t="shared" si="20"/>
        <v>0.57899359902870939</v>
      </c>
      <c r="O54" s="53">
        <f t="shared" si="20"/>
        <v>0.57899359902870939</v>
      </c>
      <c r="P54" s="53">
        <f t="shared" si="20"/>
        <v>0.57899359902870939</v>
      </c>
      <c r="Q54" s="53">
        <f t="shared" si="20"/>
        <v>0.57899359902870939</v>
      </c>
      <c r="R54" s="53">
        <f t="shared" si="20"/>
        <v>0.57899359902870939</v>
      </c>
      <c r="S54" s="53">
        <f t="shared" si="20"/>
        <v>0.57899359902870939</v>
      </c>
      <c r="T54" s="53">
        <f t="shared" si="20"/>
        <v>0.57899359902870939</v>
      </c>
      <c r="U54" s="53">
        <f t="shared" si="21"/>
        <v>0.57899359902870939</v>
      </c>
      <c r="V54" s="53">
        <f t="shared" si="21"/>
        <v>0.57899359902870939</v>
      </c>
      <c r="W54" s="53">
        <f t="shared" si="21"/>
        <v>0.57899359902870939</v>
      </c>
      <c r="X54" s="53">
        <f t="shared" si="21"/>
        <v>0.57899359902870939</v>
      </c>
      <c r="Y54" s="53">
        <f t="shared" si="21"/>
        <v>0.57899359902870939</v>
      </c>
      <c r="Z54" s="53">
        <f t="shared" si="21"/>
        <v>0.57899359902870939</v>
      </c>
      <c r="AA54" s="53">
        <f t="shared" si="21"/>
        <v>0.57899359902870939</v>
      </c>
      <c r="AB54" s="53">
        <f t="shared" si="21"/>
        <v>0.57899359902870939</v>
      </c>
      <c r="AC54" s="53">
        <f t="shared" si="21"/>
        <v>0.57899359902870939</v>
      </c>
      <c r="AD54" s="53">
        <f t="shared" si="21"/>
        <v>0.57899359902870939</v>
      </c>
      <c r="AE54" s="53">
        <f t="shared" si="21"/>
        <v>0.57899359902870939</v>
      </c>
      <c r="AF54" s="53">
        <f t="shared" si="21"/>
        <v>0.57899359902870939</v>
      </c>
      <c r="AG54" s="326">
        <f t="shared" si="21"/>
        <v>0.57899359902870939</v>
      </c>
    </row>
    <row r="55" spans="1:33">
      <c r="A55" s="48" t="s">
        <v>76</v>
      </c>
      <c r="B55" s="52">
        <f>B47-(SUM(B48:B54))</f>
        <v>4.0828601093220271</v>
      </c>
      <c r="C55" s="46"/>
      <c r="D55" s="46"/>
      <c r="E55" s="46"/>
      <c r="F55" s="52">
        <f>B55</f>
        <v>4.0828601093220271</v>
      </c>
      <c r="G55" s="52">
        <f t="shared" si="22"/>
        <v>0</v>
      </c>
      <c r="H55" s="46"/>
      <c r="I55" s="46"/>
      <c r="J55" s="46"/>
      <c r="K55" s="325">
        <f t="shared" si="20"/>
        <v>4.0828601093220271</v>
      </c>
      <c r="L55" s="53">
        <f t="shared" si="20"/>
        <v>4.0828601093220271</v>
      </c>
      <c r="M55" s="53">
        <f t="shared" si="20"/>
        <v>4.0828601093220271</v>
      </c>
      <c r="N55" s="53">
        <f t="shared" si="20"/>
        <v>4.0828601093220271</v>
      </c>
      <c r="O55" s="53">
        <f t="shared" si="20"/>
        <v>4.0828601093220271</v>
      </c>
      <c r="P55" s="53">
        <f t="shared" si="20"/>
        <v>4.0828601093220271</v>
      </c>
      <c r="Q55" s="53">
        <f t="shared" si="20"/>
        <v>4.0828601093220271</v>
      </c>
      <c r="R55" s="53">
        <f t="shared" si="20"/>
        <v>4.0828601093220271</v>
      </c>
      <c r="S55" s="53">
        <f t="shared" si="20"/>
        <v>4.0828601093220271</v>
      </c>
      <c r="T55" s="53">
        <f t="shared" si="20"/>
        <v>4.0828601093220271</v>
      </c>
      <c r="U55" s="53">
        <f t="shared" si="21"/>
        <v>4.0828601093220271</v>
      </c>
      <c r="V55" s="53">
        <f t="shared" si="21"/>
        <v>4.0828601093220271</v>
      </c>
      <c r="W55" s="53">
        <f t="shared" si="21"/>
        <v>4.0828601093220271</v>
      </c>
      <c r="X55" s="53">
        <f t="shared" si="21"/>
        <v>4.0828601093220271</v>
      </c>
      <c r="Y55" s="53">
        <f t="shared" si="21"/>
        <v>4.0828601093220271</v>
      </c>
      <c r="Z55" s="53">
        <f t="shared" si="21"/>
        <v>4.0828601093220271</v>
      </c>
      <c r="AA55" s="53">
        <f t="shared" si="21"/>
        <v>4.0828601093220271</v>
      </c>
      <c r="AB55" s="53">
        <f t="shared" si="21"/>
        <v>4.0828601093220271</v>
      </c>
      <c r="AC55" s="53">
        <f t="shared" si="21"/>
        <v>4.0828601093220271</v>
      </c>
      <c r="AD55" s="53">
        <f t="shared" si="21"/>
        <v>4.0828601093220271</v>
      </c>
      <c r="AE55" s="53">
        <f t="shared" si="21"/>
        <v>4.0828601093220271</v>
      </c>
      <c r="AF55" s="53">
        <f t="shared" si="21"/>
        <v>4.0828601093220271</v>
      </c>
      <c r="AG55" s="326">
        <f t="shared" si="21"/>
        <v>4.0828601093220271</v>
      </c>
    </row>
    <row r="56" spans="1:33">
      <c r="A56" s="48" t="s">
        <v>21</v>
      </c>
      <c r="B56" s="49">
        <f>(B45/1000)*B47</f>
        <v>1847481.3035155816</v>
      </c>
      <c r="C56" s="46"/>
      <c r="D56" s="46"/>
      <c r="E56" s="46"/>
      <c r="F56" s="49">
        <f>(F45/1000)*F47</f>
        <v>1707710.1278248217</v>
      </c>
      <c r="G56" s="38">
        <f t="shared" si="22"/>
        <v>139771.1756907599</v>
      </c>
      <c r="H56" s="46"/>
      <c r="I56" s="46"/>
      <c r="J56" s="46"/>
      <c r="K56" s="182">
        <f t="shared" ref="K56:AF56" si="23">(K45/1000)*K47</f>
        <v>1780488.3305499849</v>
      </c>
      <c r="L56" s="49">
        <f t="shared" si="23"/>
        <v>1814279.5336910032</v>
      </c>
      <c r="M56" s="49">
        <f t="shared" si="23"/>
        <v>1813390.4459445267</v>
      </c>
      <c r="N56" s="49">
        <f t="shared" ca="1" si="23"/>
        <v>1812313.6700515805</v>
      </c>
      <c r="O56" s="49">
        <f t="shared" ca="1" si="23"/>
        <v>1815933.9132107606</v>
      </c>
      <c r="P56" s="49">
        <f t="shared" ca="1" si="23"/>
        <v>1815963.120138091</v>
      </c>
      <c r="Q56" s="49">
        <f t="shared" ca="1" si="23"/>
        <v>1818652.2963799566</v>
      </c>
      <c r="R56" s="49">
        <f t="shared" ca="1" si="23"/>
        <v>1817576.3394618519</v>
      </c>
      <c r="S56" s="49">
        <f t="shared" ca="1" si="23"/>
        <v>1816553.2033418543</v>
      </c>
      <c r="T56" s="49">
        <f t="shared" ca="1" si="23"/>
        <v>1818948.2606514518</v>
      </c>
      <c r="U56" s="49">
        <f t="shared" ca="1" si="23"/>
        <v>1820688.2863566701</v>
      </c>
      <c r="V56" s="49">
        <f t="shared" ca="1" si="23"/>
        <v>1816328.868588988</v>
      </c>
      <c r="W56" s="49">
        <f t="shared" ca="1" si="23"/>
        <v>1816044.9876071373</v>
      </c>
      <c r="X56" s="49">
        <f t="shared" ca="1" si="23"/>
        <v>1816064.5539178995</v>
      </c>
      <c r="Y56" s="49">
        <f t="shared" ca="1" si="23"/>
        <v>1804753.5954464076</v>
      </c>
      <c r="Z56" s="49">
        <f t="shared" ca="1" si="23"/>
        <v>1803470.1993263541</v>
      </c>
      <c r="AA56" s="49">
        <f t="shared" ca="1" si="23"/>
        <v>1800928.1132899362</v>
      </c>
      <c r="AB56" s="49">
        <f t="shared" ca="1" si="23"/>
        <v>1796978.3099904812</v>
      </c>
      <c r="AC56" s="49">
        <f t="shared" ca="1" si="23"/>
        <v>1792241.0134256559</v>
      </c>
      <c r="AD56" s="49">
        <f t="shared" ca="1" si="23"/>
        <v>1792232.8820136576</v>
      </c>
      <c r="AE56" s="49">
        <f t="shared" ca="1" si="23"/>
        <v>1785373.9198452681</v>
      </c>
      <c r="AF56" s="49">
        <f t="shared" ca="1" si="23"/>
        <v>1778721.0346016109</v>
      </c>
      <c r="AG56" s="183">
        <f t="shared" ref="AG56" ca="1" si="24">(AG45/1000)*AG47</f>
        <v>1778794.052229932</v>
      </c>
    </row>
    <row r="57" spans="1:33" ht="13.5" thickBot="1">
      <c r="A57" s="48" t="s">
        <v>22</v>
      </c>
      <c r="B57" s="54">
        <f>B56/8760000</f>
        <v>0.21089969218214402</v>
      </c>
      <c r="C57" s="46"/>
      <c r="D57" s="46"/>
      <c r="E57" s="46"/>
      <c r="F57" s="54">
        <f>F56/8760000</f>
        <v>0.19494407851881526</v>
      </c>
      <c r="G57" s="55">
        <f t="shared" si="22"/>
        <v>1.595561366332876E-2</v>
      </c>
      <c r="H57" s="46"/>
      <c r="I57" s="46"/>
      <c r="J57" s="46"/>
      <c r="K57" s="329">
        <f t="shared" ref="K57:AF57" si="25">K56/8760000</f>
        <v>0.2032520925285371</v>
      </c>
      <c r="L57" s="56">
        <f t="shared" si="25"/>
        <v>0.20710953580947525</v>
      </c>
      <c r="M57" s="56">
        <f t="shared" si="25"/>
        <v>0.20700804177448934</v>
      </c>
      <c r="N57" s="56">
        <f t="shared" ca="1" si="25"/>
        <v>0.20688512215200691</v>
      </c>
      <c r="O57" s="56">
        <f t="shared" ca="1" si="25"/>
        <v>0.2072983919190366</v>
      </c>
      <c r="P57" s="56">
        <f t="shared" ca="1" si="25"/>
        <v>0.20730172604316108</v>
      </c>
      <c r="Q57" s="56">
        <f t="shared" ca="1" si="25"/>
        <v>0.20760870963241515</v>
      </c>
      <c r="R57" s="56">
        <f t="shared" ca="1" si="25"/>
        <v>0.20748588350021141</v>
      </c>
      <c r="S57" s="56">
        <f t="shared" ca="1" si="25"/>
        <v>0.20736908713948107</v>
      </c>
      <c r="T57" s="56">
        <f t="shared" ca="1" si="25"/>
        <v>0.20764249550815658</v>
      </c>
      <c r="U57" s="56">
        <f t="shared" ca="1" si="25"/>
        <v>0.20784112857952855</v>
      </c>
      <c r="V57" s="56">
        <f t="shared" ca="1" si="25"/>
        <v>0.20734347814942786</v>
      </c>
      <c r="W57" s="56">
        <f t="shared" ca="1" si="25"/>
        <v>0.20731107164465037</v>
      </c>
      <c r="X57" s="56">
        <f t="shared" ca="1" si="25"/>
        <v>0.20731330524176936</v>
      </c>
      <c r="Y57" s="56">
        <f t="shared" ca="1" si="25"/>
        <v>0.20602209993680451</v>
      </c>
      <c r="Z57" s="56">
        <f t="shared" ca="1" si="25"/>
        <v>0.20587559353040571</v>
      </c>
      <c r="AA57" s="56">
        <f t="shared" ca="1" si="25"/>
        <v>0.205585401060495</v>
      </c>
      <c r="AB57" s="56">
        <f t="shared" ca="1" si="25"/>
        <v>0.20513451027288598</v>
      </c>
      <c r="AC57" s="56">
        <f t="shared" ca="1" si="25"/>
        <v>0.20459372299379633</v>
      </c>
      <c r="AD57" s="56">
        <f t="shared" ca="1" si="25"/>
        <v>0.20459279475041753</v>
      </c>
      <c r="AE57" s="56">
        <f t="shared" ca="1" si="25"/>
        <v>0.20380980820151462</v>
      </c>
      <c r="AF57" s="56">
        <f t="shared" ca="1" si="25"/>
        <v>0.20305034641570899</v>
      </c>
      <c r="AG57" s="330">
        <f t="shared" ref="AG57" ca="1" si="26">AG56/8760000</f>
        <v>0.20305868176140776</v>
      </c>
    </row>
    <row r="58" spans="1:33" ht="13.5" thickBot="1">
      <c r="A58" s="667" t="s">
        <v>23</v>
      </c>
      <c r="B58" s="668"/>
      <c r="C58" s="668"/>
      <c r="D58" s="668"/>
      <c r="E58" s="668"/>
      <c r="F58" s="668"/>
      <c r="G58" s="668"/>
      <c r="H58" s="668"/>
      <c r="I58" s="668"/>
      <c r="J58" s="682"/>
      <c r="K58" s="343">
        <v>2013</v>
      </c>
      <c r="L58" s="344">
        <v>2014</v>
      </c>
      <c r="M58" s="344">
        <v>2015</v>
      </c>
      <c r="N58" s="344">
        <v>2016</v>
      </c>
      <c r="O58" s="344">
        <v>2017</v>
      </c>
      <c r="P58" s="344">
        <v>2018</v>
      </c>
      <c r="Q58" s="344">
        <v>2019</v>
      </c>
      <c r="R58" s="344">
        <v>2020</v>
      </c>
      <c r="S58" s="344">
        <v>2021</v>
      </c>
      <c r="T58" s="344">
        <v>2022</v>
      </c>
      <c r="U58" s="344">
        <v>2023</v>
      </c>
      <c r="V58" s="344">
        <v>2024</v>
      </c>
      <c r="W58" s="344">
        <v>2025</v>
      </c>
      <c r="X58" s="344">
        <v>2026</v>
      </c>
      <c r="Y58" s="344">
        <v>2027</v>
      </c>
      <c r="Z58" s="344">
        <v>2028</v>
      </c>
      <c r="AA58" s="344">
        <v>2029</v>
      </c>
      <c r="AB58" s="344">
        <v>2030</v>
      </c>
      <c r="AC58" s="344">
        <v>2031</v>
      </c>
      <c r="AD58" s="344">
        <v>2032</v>
      </c>
      <c r="AE58" s="344">
        <v>2033</v>
      </c>
      <c r="AF58" s="344">
        <v>2034</v>
      </c>
      <c r="AG58" s="344">
        <v>2035</v>
      </c>
    </row>
    <row r="59" spans="1:33">
      <c r="A59" s="44" t="s">
        <v>9</v>
      </c>
      <c r="B59" s="45">
        <f>C42*B40</f>
        <v>661.61209068010089</v>
      </c>
      <c r="C59" s="46"/>
      <c r="D59" s="46"/>
      <c r="E59" s="46"/>
      <c r="F59" s="45">
        <f>B59</f>
        <v>661.61209068010089</v>
      </c>
      <c r="G59" s="46"/>
      <c r="H59" s="46"/>
      <c r="I59" s="46"/>
      <c r="J59" s="46"/>
      <c r="K59" s="182">
        <f t="shared" ref="K59:T72" si="27">$F59</f>
        <v>661.61209068010089</v>
      </c>
      <c r="L59" s="49">
        <f t="shared" si="27"/>
        <v>661.61209068010089</v>
      </c>
      <c r="M59" s="49">
        <f t="shared" si="27"/>
        <v>661.61209068010089</v>
      </c>
      <c r="N59" s="49">
        <f t="shared" si="27"/>
        <v>661.61209068010089</v>
      </c>
      <c r="O59" s="49">
        <f t="shared" si="27"/>
        <v>661.61209068010089</v>
      </c>
      <c r="P59" s="49">
        <f t="shared" si="27"/>
        <v>661.61209068010089</v>
      </c>
      <c r="Q59" s="49">
        <f t="shared" si="27"/>
        <v>661.61209068010089</v>
      </c>
      <c r="R59" s="49">
        <f t="shared" si="27"/>
        <v>661.61209068010089</v>
      </c>
      <c r="S59" s="49">
        <f t="shared" si="27"/>
        <v>661.61209068010089</v>
      </c>
      <c r="T59" s="49">
        <f t="shared" si="27"/>
        <v>661.61209068010089</v>
      </c>
      <c r="U59" s="49">
        <f t="shared" ref="U59:AG72" si="28">$F59</f>
        <v>661.61209068010089</v>
      </c>
      <c r="V59" s="49">
        <f t="shared" si="28"/>
        <v>661.61209068010089</v>
      </c>
      <c r="W59" s="49">
        <f t="shared" si="28"/>
        <v>661.61209068010089</v>
      </c>
      <c r="X59" s="49">
        <f t="shared" si="28"/>
        <v>661.61209068010089</v>
      </c>
      <c r="Y59" s="49">
        <f t="shared" si="28"/>
        <v>661.61209068010089</v>
      </c>
      <c r="Z59" s="49">
        <f t="shared" si="28"/>
        <v>661.61209068010089</v>
      </c>
      <c r="AA59" s="49">
        <f t="shared" si="28"/>
        <v>661.61209068010089</v>
      </c>
      <c r="AB59" s="49">
        <f t="shared" si="28"/>
        <v>661.61209068010089</v>
      </c>
      <c r="AC59" s="49">
        <f t="shared" si="28"/>
        <v>661.61209068010089</v>
      </c>
      <c r="AD59" s="49">
        <f t="shared" si="28"/>
        <v>661.61209068010089</v>
      </c>
      <c r="AE59" s="49">
        <f t="shared" si="28"/>
        <v>661.61209068010089</v>
      </c>
      <c r="AF59" s="49">
        <f t="shared" si="28"/>
        <v>661.61209068010089</v>
      </c>
      <c r="AG59" s="183">
        <f t="shared" si="28"/>
        <v>661.61209068010089</v>
      </c>
    </row>
    <row r="60" spans="1:33">
      <c r="A60" s="48" t="s">
        <v>3</v>
      </c>
      <c r="B60" s="49">
        <f>D40*C42</f>
        <v>14136592.060732255</v>
      </c>
      <c r="C60" s="46"/>
      <c r="D60" s="46"/>
      <c r="E60" s="46"/>
      <c r="F60" s="49">
        <f>B60</f>
        <v>14136592.060732255</v>
      </c>
      <c r="G60" s="46"/>
      <c r="H60" s="46"/>
      <c r="I60" s="46"/>
      <c r="J60" s="46"/>
      <c r="K60" s="182">
        <f t="shared" si="27"/>
        <v>14136592.060732255</v>
      </c>
      <c r="L60" s="49">
        <f t="shared" si="27"/>
        <v>14136592.060732255</v>
      </c>
      <c r="M60" s="49">
        <f t="shared" si="27"/>
        <v>14136592.060732255</v>
      </c>
      <c r="N60" s="49">
        <f t="shared" si="27"/>
        <v>14136592.060732255</v>
      </c>
      <c r="O60" s="49">
        <f t="shared" si="27"/>
        <v>14136592.060732255</v>
      </c>
      <c r="P60" s="49">
        <f t="shared" si="27"/>
        <v>14136592.060732255</v>
      </c>
      <c r="Q60" s="49">
        <f t="shared" si="27"/>
        <v>14136592.060732255</v>
      </c>
      <c r="R60" s="49">
        <f t="shared" si="27"/>
        <v>14136592.060732255</v>
      </c>
      <c r="S60" s="49">
        <f t="shared" si="27"/>
        <v>14136592.060732255</v>
      </c>
      <c r="T60" s="49">
        <f t="shared" si="27"/>
        <v>14136592.060732255</v>
      </c>
      <c r="U60" s="49">
        <f t="shared" si="28"/>
        <v>14136592.060732255</v>
      </c>
      <c r="V60" s="49">
        <f t="shared" si="28"/>
        <v>14136592.060732255</v>
      </c>
      <c r="W60" s="49">
        <f t="shared" si="28"/>
        <v>14136592.060732255</v>
      </c>
      <c r="X60" s="49">
        <f t="shared" si="28"/>
        <v>14136592.060732255</v>
      </c>
      <c r="Y60" s="49">
        <f t="shared" si="28"/>
        <v>14136592.060732255</v>
      </c>
      <c r="Z60" s="49">
        <f t="shared" si="28"/>
        <v>14136592.060732255</v>
      </c>
      <c r="AA60" s="49">
        <f t="shared" si="28"/>
        <v>14136592.060732255</v>
      </c>
      <c r="AB60" s="49">
        <f t="shared" si="28"/>
        <v>14136592.060732255</v>
      </c>
      <c r="AC60" s="49">
        <f t="shared" si="28"/>
        <v>14136592.060732255</v>
      </c>
      <c r="AD60" s="49">
        <f t="shared" si="28"/>
        <v>14136592.060732255</v>
      </c>
      <c r="AE60" s="49">
        <f t="shared" si="28"/>
        <v>14136592.060732255</v>
      </c>
      <c r="AF60" s="49">
        <f t="shared" si="28"/>
        <v>14136592.060732255</v>
      </c>
      <c r="AG60" s="183">
        <f t="shared" si="28"/>
        <v>14136592.060732255</v>
      </c>
    </row>
    <row r="61" spans="1:33">
      <c r="A61" s="48" t="s">
        <v>12</v>
      </c>
      <c r="B61" s="49">
        <f>C40</f>
        <v>21286</v>
      </c>
      <c r="C61" s="46"/>
      <c r="D61" s="46"/>
      <c r="E61" s="46"/>
      <c r="F61" s="49">
        <f>B61</f>
        <v>21286</v>
      </c>
      <c r="G61" s="46"/>
      <c r="H61" s="46"/>
      <c r="I61" s="46"/>
      <c r="J61" s="46"/>
      <c r="K61" s="182">
        <f t="shared" si="27"/>
        <v>21286</v>
      </c>
      <c r="L61" s="49">
        <f t="shared" si="27"/>
        <v>21286</v>
      </c>
      <c r="M61" s="49">
        <f t="shared" si="27"/>
        <v>21286</v>
      </c>
      <c r="N61" s="49">
        <f t="shared" si="27"/>
        <v>21286</v>
      </c>
      <c r="O61" s="49">
        <f t="shared" si="27"/>
        <v>21286</v>
      </c>
      <c r="P61" s="49">
        <f t="shared" si="27"/>
        <v>21286</v>
      </c>
      <c r="Q61" s="49">
        <f t="shared" si="27"/>
        <v>21286</v>
      </c>
      <c r="R61" s="49">
        <f t="shared" si="27"/>
        <v>21286</v>
      </c>
      <c r="S61" s="49">
        <f t="shared" si="27"/>
        <v>21286</v>
      </c>
      <c r="T61" s="49">
        <f t="shared" si="27"/>
        <v>21286</v>
      </c>
      <c r="U61" s="49">
        <f t="shared" si="28"/>
        <v>21286</v>
      </c>
      <c r="V61" s="49">
        <f t="shared" si="28"/>
        <v>21286</v>
      </c>
      <c r="W61" s="49">
        <f t="shared" si="28"/>
        <v>21286</v>
      </c>
      <c r="X61" s="49">
        <f t="shared" si="28"/>
        <v>21286</v>
      </c>
      <c r="Y61" s="49">
        <f t="shared" si="28"/>
        <v>21286</v>
      </c>
      <c r="Z61" s="49">
        <f t="shared" si="28"/>
        <v>21286</v>
      </c>
      <c r="AA61" s="49">
        <f t="shared" si="28"/>
        <v>21286</v>
      </c>
      <c r="AB61" s="49">
        <f t="shared" si="28"/>
        <v>21286</v>
      </c>
      <c r="AC61" s="49">
        <f t="shared" si="28"/>
        <v>21286</v>
      </c>
      <c r="AD61" s="49">
        <f t="shared" si="28"/>
        <v>21286</v>
      </c>
      <c r="AE61" s="49">
        <f t="shared" si="28"/>
        <v>21286</v>
      </c>
      <c r="AF61" s="49">
        <f t="shared" si="28"/>
        <v>21286</v>
      </c>
      <c r="AG61" s="183">
        <f t="shared" si="28"/>
        <v>21286</v>
      </c>
    </row>
    <row r="62" spans="1:33" ht="13.5" thickBot="1">
      <c r="A62" s="48" t="s">
        <v>278</v>
      </c>
      <c r="B62" s="52">
        <f>('Input Assumptions'!B$24/'EUI by End Use'!AE$4)*'EUI by End Use'!AG$4</f>
        <v>51.879078573836971</v>
      </c>
      <c r="C62" s="46"/>
      <c r="D62" s="46"/>
      <c r="E62" s="46"/>
      <c r="F62" s="52">
        <f>SUM(F63:F70)</f>
        <v>42.706424855778785</v>
      </c>
      <c r="G62" s="52">
        <f t="shared" ref="G62:G72" si="29">B62-F62</f>
        <v>9.1726537180581857</v>
      </c>
      <c r="H62" s="51"/>
      <c r="I62" s="51"/>
      <c r="J62" s="51"/>
      <c r="K62" s="331">
        <f t="shared" si="27"/>
        <v>42.706424855778785</v>
      </c>
      <c r="L62" s="52">
        <f t="shared" si="27"/>
        <v>42.706424855778785</v>
      </c>
      <c r="M62" s="52">
        <f t="shared" si="27"/>
        <v>42.706424855778785</v>
      </c>
      <c r="N62" s="52">
        <f t="shared" si="27"/>
        <v>42.706424855778785</v>
      </c>
      <c r="O62" s="52">
        <f t="shared" si="27"/>
        <v>42.706424855778785</v>
      </c>
      <c r="P62" s="52">
        <f t="shared" si="27"/>
        <v>42.706424855778785</v>
      </c>
      <c r="Q62" s="52">
        <f t="shared" si="27"/>
        <v>42.706424855778785</v>
      </c>
      <c r="R62" s="52">
        <f t="shared" si="27"/>
        <v>42.706424855778785</v>
      </c>
      <c r="S62" s="52">
        <f t="shared" si="27"/>
        <v>42.706424855778785</v>
      </c>
      <c r="T62" s="52">
        <f t="shared" si="27"/>
        <v>42.706424855778785</v>
      </c>
      <c r="U62" s="52">
        <f t="shared" si="28"/>
        <v>42.706424855778785</v>
      </c>
      <c r="V62" s="52">
        <f t="shared" si="28"/>
        <v>42.706424855778785</v>
      </c>
      <c r="W62" s="52">
        <f t="shared" si="28"/>
        <v>42.706424855778785</v>
      </c>
      <c r="X62" s="52">
        <f t="shared" si="28"/>
        <v>42.706424855778785</v>
      </c>
      <c r="Y62" s="52">
        <f t="shared" si="28"/>
        <v>42.706424855778785</v>
      </c>
      <c r="Z62" s="52">
        <f t="shared" si="28"/>
        <v>42.706424855778785</v>
      </c>
      <c r="AA62" s="52">
        <f t="shared" si="28"/>
        <v>42.706424855778785</v>
      </c>
      <c r="AB62" s="52">
        <f t="shared" si="28"/>
        <v>42.706424855778785</v>
      </c>
      <c r="AC62" s="52">
        <f t="shared" si="28"/>
        <v>42.706424855778785</v>
      </c>
      <c r="AD62" s="52">
        <f t="shared" si="28"/>
        <v>42.706424855778785</v>
      </c>
      <c r="AE62" s="52">
        <f t="shared" si="28"/>
        <v>42.706424855778785</v>
      </c>
      <c r="AF62" s="52">
        <f t="shared" si="28"/>
        <v>42.706424855778785</v>
      </c>
      <c r="AG62" s="332">
        <f t="shared" si="28"/>
        <v>42.706424855778785</v>
      </c>
    </row>
    <row r="63" spans="1:33">
      <c r="A63" s="396" t="s">
        <v>271</v>
      </c>
      <c r="B63" s="397">
        <f>('Input Assumptions'!B$24/'EUI by End Use'!AE$4)*'EUI by End Use'!AH$4</f>
        <v>7.8361609779351626</v>
      </c>
      <c r="C63" s="238"/>
      <c r="D63" s="238"/>
      <c r="E63" s="238"/>
      <c r="F63" s="397">
        <f>('Input Assumptions'!$B$24/'EUI by End Use'!AE$4)*'EUI by End Use'!AW$4</f>
        <v>3.0793174969152783</v>
      </c>
      <c r="G63" s="398">
        <f t="shared" si="29"/>
        <v>4.7568434810198843</v>
      </c>
      <c r="H63" s="311"/>
      <c r="I63" s="311"/>
      <c r="J63" s="46"/>
      <c r="K63" s="327">
        <f t="shared" si="27"/>
        <v>3.0793174969152783</v>
      </c>
      <c r="L63" s="320">
        <f t="shared" si="27"/>
        <v>3.0793174969152783</v>
      </c>
      <c r="M63" s="320">
        <f t="shared" si="27"/>
        <v>3.0793174969152783</v>
      </c>
      <c r="N63" s="320">
        <f t="shared" si="27"/>
        <v>3.0793174969152783</v>
      </c>
      <c r="O63" s="320">
        <f t="shared" si="27"/>
        <v>3.0793174969152783</v>
      </c>
      <c r="P63" s="320">
        <f t="shared" si="27"/>
        <v>3.0793174969152783</v>
      </c>
      <c r="Q63" s="320">
        <f t="shared" si="27"/>
        <v>3.0793174969152783</v>
      </c>
      <c r="R63" s="320">
        <f t="shared" si="27"/>
        <v>3.0793174969152783</v>
      </c>
      <c r="S63" s="320">
        <f t="shared" si="27"/>
        <v>3.0793174969152783</v>
      </c>
      <c r="T63" s="320">
        <f t="shared" si="27"/>
        <v>3.0793174969152783</v>
      </c>
      <c r="U63" s="320">
        <f t="shared" si="28"/>
        <v>3.0793174969152783</v>
      </c>
      <c r="V63" s="320">
        <f t="shared" si="28"/>
        <v>3.0793174969152783</v>
      </c>
      <c r="W63" s="320">
        <f t="shared" si="28"/>
        <v>3.0793174969152783</v>
      </c>
      <c r="X63" s="320">
        <f t="shared" si="28"/>
        <v>3.0793174969152783</v>
      </c>
      <c r="Y63" s="320">
        <f t="shared" si="28"/>
        <v>3.0793174969152783</v>
      </c>
      <c r="Z63" s="320">
        <f t="shared" si="28"/>
        <v>3.0793174969152783</v>
      </c>
      <c r="AA63" s="320">
        <f t="shared" si="28"/>
        <v>3.0793174969152783</v>
      </c>
      <c r="AB63" s="320">
        <f t="shared" si="28"/>
        <v>3.0793174969152783</v>
      </c>
      <c r="AC63" s="320">
        <f t="shared" si="28"/>
        <v>3.0793174969152783</v>
      </c>
      <c r="AD63" s="320">
        <f t="shared" si="28"/>
        <v>3.0793174969152783</v>
      </c>
      <c r="AE63" s="320">
        <f t="shared" si="28"/>
        <v>3.0793174969152783</v>
      </c>
      <c r="AF63" s="320">
        <f t="shared" si="28"/>
        <v>3.0793174969152783</v>
      </c>
      <c r="AG63" s="328">
        <f t="shared" si="28"/>
        <v>3.0793174969152783</v>
      </c>
    </row>
    <row r="64" spans="1:33">
      <c r="A64" s="48" t="s">
        <v>272</v>
      </c>
      <c r="B64" s="52">
        <f>('Input Assumptions'!B$24/'EUI by End Use'!AE$4)*'EUI by End Use'!AI$4</f>
        <v>10.108363039033851</v>
      </c>
      <c r="C64" s="46"/>
      <c r="D64" s="46"/>
      <c r="E64" s="46"/>
      <c r="F64" s="52">
        <f>('Input Assumptions'!$B$24/'EUI by End Use'!AE$4)*'EUI by End Use'!AX$4</f>
        <v>7.6268041732914567</v>
      </c>
      <c r="G64" s="332">
        <f t="shared" si="29"/>
        <v>2.4815588657423939</v>
      </c>
      <c r="H64" s="311"/>
      <c r="I64" s="311"/>
      <c r="J64" s="46"/>
      <c r="K64" s="327">
        <f t="shared" si="27"/>
        <v>7.6268041732914567</v>
      </c>
      <c r="L64" s="320">
        <f t="shared" si="27"/>
        <v>7.6268041732914567</v>
      </c>
      <c r="M64" s="320">
        <f t="shared" si="27"/>
        <v>7.6268041732914567</v>
      </c>
      <c r="N64" s="320">
        <f t="shared" si="27"/>
        <v>7.6268041732914567</v>
      </c>
      <c r="O64" s="320">
        <f t="shared" si="27"/>
        <v>7.6268041732914567</v>
      </c>
      <c r="P64" s="320">
        <f t="shared" si="27"/>
        <v>7.6268041732914567</v>
      </c>
      <c r="Q64" s="320">
        <f t="shared" si="27"/>
        <v>7.6268041732914567</v>
      </c>
      <c r="R64" s="320">
        <f t="shared" si="27"/>
        <v>7.6268041732914567</v>
      </c>
      <c r="S64" s="320">
        <f t="shared" si="27"/>
        <v>7.6268041732914567</v>
      </c>
      <c r="T64" s="320">
        <f t="shared" si="27"/>
        <v>7.6268041732914567</v>
      </c>
      <c r="U64" s="320">
        <f t="shared" si="28"/>
        <v>7.6268041732914567</v>
      </c>
      <c r="V64" s="320">
        <f t="shared" si="28"/>
        <v>7.6268041732914567</v>
      </c>
      <c r="W64" s="320">
        <f t="shared" si="28"/>
        <v>7.6268041732914567</v>
      </c>
      <c r="X64" s="320">
        <f t="shared" si="28"/>
        <v>7.6268041732914567</v>
      </c>
      <c r="Y64" s="320">
        <f t="shared" si="28"/>
        <v>7.6268041732914567</v>
      </c>
      <c r="Z64" s="320">
        <f t="shared" si="28"/>
        <v>7.6268041732914567</v>
      </c>
      <c r="AA64" s="320">
        <f t="shared" si="28"/>
        <v>7.6268041732914567</v>
      </c>
      <c r="AB64" s="320">
        <f t="shared" si="28"/>
        <v>7.6268041732914567</v>
      </c>
      <c r="AC64" s="320">
        <f t="shared" si="28"/>
        <v>7.6268041732914567</v>
      </c>
      <c r="AD64" s="320">
        <f t="shared" si="28"/>
        <v>7.6268041732914567</v>
      </c>
      <c r="AE64" s="320">
        <f t="shared" si="28"/>
        <v>7.6268041732914567</v>
      </c>
      <c r="AF64" s="320">
        <f t="shared" si="28"/>
        <v>7.6268041732914567</v>
      </c>
      <c r="AG64" s="328">
        <f t="shared" si="28"/>
        <v>7.6268041732914567</v>
      </c>
    </row>
    <row r="65" spans="1:33" ht="13.5" thickBot="1">
      <c r="A65" s="399" t="s">
        <v>273</v>
      </c>
      <c r="B65" s="400">
        <f>('Input Assumptions'!B$24/'EUI by End Use'!AE$4)*'EUI by End Use'!AJ$4</f>
        <v>7.2293088119348079</v>
      </c>
      <c r="C65" s="64"/>
      <c r="D65" s="64"/>
      <c r="E65" s="64"/>
      <c r="F65" s="400">
        <f>('Input Assumptions'!$B$24/'EUI by End Use'!AE$4)*'EUI by End Use'!AY$4</f>
        <v>5.2950574406388915</v>
      </c>
      <c r="G65" s="401">
        <f t="shared" si="29"/>
        <v>1.9342513712959164</v>
      </c>
      <c r="H65" s="311"/>
      <c r="I65" s="311"/>
      <c r="J65" s="46"/>
      <c r="K65" s="327">
        <f t="shared" si="27"/>
        <v>5.2950574406388915</v>
      </c>
      <c r="L65" s="320">
        <f t="shared" si="27"/>
        <v>5.2950574406388915</v>
      </c>
      <c r="M65" s="320">
        <f t="shared" si="27"/>
        <v>5.2950574406388915</v>
      </c>
      <c r="N65" s="320">
        <f t="shared" si="27"/>
        <v>5.2950574406388915</v>
      </c>
      <c r="O65" s="320">
        <f t="shared" si="27"/>
        <v>5.2950574406388915</v>
      </c>
      <c r="P65" s="320">
        <f t="shared" si="27"/>
        <v>5.2950574406388915</v>
      </c>
      <c r="Q65" s="320">
        <f t="shared" si="27"/>
        <v>5.2950574406388915</v>
      </c>
      <c r="R65" s="320">
        <f t="shared" si="27"/>
        <v>5.2950574406388915</v>
      </c>
      <c r="S65" s="320">
        <f t="shared" si="27"/>
        <v>5.2950574406388915</v>
      </c>
      <c r="T65" s="320">
        <f t="shared" si="27"/>
        <v>5.2950574406388915</v>
      </c>
      <c r="U65" s="320">
        <f t="shared" si="28"/>
        <v>5.2950574406388915</v>
      </c>
      <c r="V65" s="320">
        <f t="shared" si="28"/>
        <v>5.2950574406388915</v>
      </c>
      <c r="W65" s="320">
        <f t="shared" si="28"/>
        <v>5.2950574406388915</v>
      </c>
      <c r="X65" s="320">
        <f t="shared" si="28"/>
        <v>5.2950574406388915</v>
      </c>
      <c r="Y65" s="320">
        <f t="shared" si="28"/>
        <v>5.2950574406388915</v>
      </c>
      <c r="Z65" s="320">
        <f t="shared" si="28"/>
        <v>5.2950574406388915</v>
      </c>
      <c r="AA65" s="320">
        <f t="shared" si="28"/>
        <v>5.2950574406388915</v>
      </c>
      <c r="AB65" s="320">
        <f t="shared" si="28"/>
        <v>5.2950574406388915</v>
      </c>
      <c r="AC65" s="320">
        <f t="shared" si="28"/>
        <v>5.2950574406388915</v>
      </c>
      <c r="AD65" s="320">
        <f t="shared" si="28"/>
        <v>5.2950574406388915</v>
      </c>
      <c r="AE65" s="320">
        <f t="shared" si="28"/>
        <v>5.2950574406388915</v>
      </c>
      <c r="AF65" s="320">
        <f t="shared" si="28"/>
        <v>5.2950574406388915</v>
      </c>
      <c r="AG65" s="328">
        <f t="shared" si="28"/>
        <v>5.2950574406388915</v>
      </c>
    </row>
    <row r="66" spans="1:33">
      <c r="A66" s="48" t="s">
        <v>274</v>
      </c>
      <c r="B66" s="52">
        <f>('Input Assumptions'!B$24/'EUI by End Use'!AE$4)*'EUI by End Use'!AK$4</f>
        <v>9.1294979595549499</v>
      </c>
      <c r="C66" s="46"/>
      <c r="D66" s="46"/>
      <c r="E66" s="46"/>
      <c r="F66" s="52">
        <f>('Input Assumptions'!$B$24/'EUI by End Use'!AE$4)*'EUI by End Use'!AZ$4</f>
        <v>9.1294979595549499</v>
      </c>
      <c r="G66" s="52">
        <f t="shared" si="29"/>
        <v>0</v>
      </c>
      <c r="H66" s="46"/>
      <c r="I66" s="46"/>
      <c r="J66" s="46"/>
      <c r="K66" s="331">
        <f t="shared" si="27"/>
        <v>9.1294979595549499</v>
      </c>
      <c r="L66" s="52">
        <f t="shared" si="27"/>
        <v>9.1294979595549499</v>
      </c>
      <c r="M66" s="52">
        <f t="shared" si="27"/>
        <v>9.1294979595549499</v>
      </c>
      <c r="N66" s="52">
        <f t="shared" si="27"/>
        <v>9.1294979595549499</v>
      </c>
      <c r="O66" s="52">
        <f t="shared" si="27"/>
        <v>9.1294979595549499</v>
      </c>
      <c r="P66" s="52">
        <f t="shared" si="27"/>
        <v>9.1294979595549499</v>
      </c>
      <c r="Q66" s="52">
        <f t="shared" si="27"/>
        <v>9.1294979595549499</v>
      </c>
      <c r="R66" s="52">
        <f t="shared" si="27"/>
        <v>9.1294979595549499</v>
      </c>
      <c r="S66" s="52">
        <f t="shared" si="27"/>
        <v>9.1294979595549499</v>
      </c>
      <c r="T66" s="52">
        <f t="shared" si="27"/>
        <v>9.1294979595549499</v>
      </c>
      <c r="U66" s="52">
        <f t="shared" si="28"/>
        <v>9.1294979595549499</v>
      </c>
      <c r="V66" s="52">
        <f t="shared" si="28"/>
        <v>9.1294979595549499</v>
      </c>
      <c r="W66" s="52">
        <f t="shared" si="28"/>
        <v>9.1294979595549499</v>
      </c>
      <c r="X66" s="52">
        <f t="shared" si="28"/>
        <v>9.1294979595549499</v>
      </c>
      <c r="Y66" s="52">
        <f t="shared" si="28"/>
        <v>9.1294979595549499</v>
      </c>
      <c r="Z66" s="52">
        <f t="shared" si="28"/>
        <v>9.1294979595549499</v>
      </c>
      <c r="AA66" s="52">
        <f t="shared" si="28"/>
        <v>9.1294979595549499</v>
      </c>
      <c r="AB66" s="52">
        <f t="shared" si="28"/>
        <v>9.1294979595549499</v>
      </c>
      <c r="AC66" s="52">
        <f t="shared" si="28"/>
        <v>9.1294979595549499</v>
      </c>
      <c r="AD66" s="52">
        <f t="shared" si="28"/>
        <v>9.1294979595549499</v>
      </c>
      <c r="AE66" s="52">
        <f t="shared" si="28"/>
        <v>9.1294979595549499</v>
      </c>
      <c r="AF66" s="52">
        <f t="shared" si="28"/>
        <v>9.1294979595549499</v>
      </c>
      <c r="AG66" s="332">
        <f t="shared" si="28"/>
        <v>9.1294979595549499</v>
      </c>
    </row>
    <row r="67" spans="1:33">
      <c r="A67" s="48" t="s">
        <v>275</v>
      </c>
      <c r="B67" s="52">
        <f>('Input Assumptions'!B$24/'EUI by End Use'!AE$4)*'EUI by End Use'!AL$4</f>
        <v>3.1395814311108778</v>
      </c>
      <c r="C67" s="46"/>
      <c r="D67" s="46"/>
      <c r="E67" s="46"/>
      <c r="F67" s="52">
        <f>('Input Assumptions'!$B$24/'EUI by End Use'!AE$4)*'EUI by End Use'!BA$4</f>
        <v>3.1395814311108778</v>
      </c>
      <c r="G67" s="52">
        <f t="shared" si="29"/>
        <v>0</v>
      </c>
      <c r="H67" s="46"/>
      <c r="I67" s="46"/>
      <c r="J67" s="46"/>
      <c r="K67" s="331">
        <f t="shared" si="27"/>
        <v>3.1395814311108778</v>
      </c>
      <c r="L67" s="52">
        <f t="shared" si="27"/>
        <v>3.1395814311108778</v>
      </c>
      <c r="M67" s="52">
        <f t="shared" si="27"/>
        <v>3.1395814311108778</v>
      </c>
      <c r="N67" s="52">
        <f t="shared" si="27"/>
        <v>3.1395814311108778</v>
      </c>
      <c r="O67" s="52">
        <f t="shared" si="27"/>
        <v>3.1395814311108778</v>
      </c>
      <c r="P67" s="52">
        <f t="shared" si="27"/>
        <v>3.1395814311108778</v>
      </c>
      <c r="Q67" s="52">
        <f t="shared" si="27"/>
        <v>3.1395814311108778</v>
      </c>
      <c r="R67" s="52">
        <f t="shared" si="27"/>
        <v>3.1395814311108778</v>
      </c>
      <c r="S67" s="52">
        <f t="shared" si="27"/>
        <v>3.1395814311108778</v>
      </c>
      <c r="T67" s="52">
        <f t="shared" si="27"/>
        <v>3.1395814311108778</v>
      </c>
      <c r="U67" s="52">
        <f t="shared" si="28"/>
        <v>3.1395814311108778</v>
      </c>
      <c r="V67" s="52">
        <f t="shared" si="28"/>
        <v>3.1395814311108778</v>
      </c>
      <c r="W67" s="52">
        <f t="shared" si="28"/>
        <v>3.1395814311108778</v>
      </c>
      <c r="X67" s="52">
        <f t="shared" si="28"/>
        <v>3.1395814311108778</v>
      </c>
      <c r="Y67" s="52">
        <f t="shared" si="28"/>
        <v>3.1395814311108778</v>
      </c>
      <c r="Z67" s="52">
        <f t="shared" si="28"/>
        <v>3.1395814311108778</v>
      </c>
      <c r="AA67" s="52">
        <f t="shared" si="28"/>
        <v>3.1395814311108778</v>
      </c>
      <c r="AB67" s="52">
        <f t="shared" si="28"/>
        <v>3.1395814311108778</v>
      </c>
      <c r="AC67" s="52">
        <f t="shared" si="28"/>
        <v>3.1395814311108778</v>
      </c>
      <c r="AD67" s="52">
        <f t="shared" si="28"/>
        <v>3.1395814311108778</v>
      </c>
      <c r="AE67" s="52">
        <f t="shared" si="28"/>
        <v>3.1395814311108778</v>
      </c>
      <c r="AF67" s="52">
        <f t="shared" si="28"/>
        <v>3.1395814311108778</v>
      </c>
      <c r="AG67" s="332">
        <f t="shared" si="28"/>
        <v>3.1395814311108778</v>
      </c>
    </row>
    <row r="68" spans="1:33">
      <c r="A68" s="48" t="s">
        <v>276</v>
      </c>
      <c r="B68" s="52">
        <f>('Input Assumptions'!B$24/'EUI by End Use'!AE$4)*'EUI by End Use'!AM$4</f>
        <v>1.1433707208210211</v>
      </c>
      <c r="C68" s="46"/>
      <c r="D68" s="46"/>
      <c r="E68" s="46"/>
      <c r="F68" s="52">
        <f>('Input Assumptions'!$B$24/'EUI by End Use'!AE$4)*'EUI by End Use'!BB$4</f>
        <v>1.1433707208210211</v>
      </c>
      <c r="G68" s="52">
        <f t="shared" si="29"/>
        <v>0</v>
      </c>
      <c r="H68" s="46"/>
      <c r="I68" s="46"/>
      <c r="J68" s="46"/>
      <c r="K68" s="331">
        <f t="shared" si="27"/>
        <v>1.1433707208210211</v>
      </c>
      <c r="L68" s="52">
        <f t="shared" si="27"/>
        <v>1.1433707208210211</v>
      </c>
      <c r="M68" s="52">
        <f t="shared" si="27"/>
        <v>1.1433707208210211</v>
      </c>
      <c r="N68" s="52">
        <f t="shared" si="27"/>
        <v>1.1433707208210211</v>
      </c>
      <c r="O68" s="52">
        <f t="shared" si="27"/>
        <v>1.1433707208210211</v>
      </c>
      <c r="P68" s="52">
        <f t="shared" si="27"/>
        <v>1.1433707208210211</v>
      </c>
      <c r="Q68" s="52">
        <f t="shared" si="27"/>
        <v>1.1433707208210211</v>
      </c>
      <c r="R68" s="52">
        <f t="shared" si="27"/>
        <v>1.1433707208210211</v>
      </c>
      <c r="S68" s="52">
        <f t="shared" si="27"/>
        <v>1.1433707208210211</v>
      </c>
      <c r="T68" s="52">
        <f t="shared" si="27"/>
        <v>1.1433707208210211</v>
      </c>
      <c r="U68" s="52">
        <f t="shared" si="28"/>
        <v>1.1433707208210211</v>
      </c>
      <c r="V68" s="52">
        <f t="shared" si="28"/>
        <v>1.1433707208210211</v>
      </c>
      <c r="W68" s="52">
        <f t="shared" si="28"/>
        <v>1.1433707208210211</v>
      </c>
      <c r="X68" s="52">
        <f t="shared" si="28"/>
        <v>1.1433707208210211</v>
      </c>
      <c r="Y68" s="52">
        <f t="shared" si="28"/>
        <v>1.1433707208210211</v>
      </c>
      <c r="Z68" s="52">
        <f t="shared" si="28"/>
        <v>1.1433707208210211</v>
      </c>
      <c r="AA68" s="52">
        <f t="shared" si="28"/>
        <v>1.1433707208210211</v>
      </c>
      <c r="AB68" s="52">
        <f t="shared" si="28"/>
        <v>1.1433707208210211</v>
      </c>
      <c r="AC68" s="52">
        <f t="shared" si="28"/>
        <v>1.1433707208210211</v>
      </c>
      <c r="AD68" s="52">
        <f t="shared" si="28"/>
        <v>1.1433707208210211</v>
      </c>
      <c r="AE68" s="52">
        <f t="shared" si="28"/>
        <v>1.1433707208210211</v>
      </c>
      <c r="AF68" s="52">
        <f t="shared" si="28"/>
        <v>1.1433707208210211</v>
      </c>
      <c r="AG68" s="332">
        <f t="shared" si="28"/>
        <v>1.1433707208210211</v>
      </c>
    </row>
    <row r="69" spans="1:33">
      <c r="A69" s="48" t="s">
        <v>277</v>
      </c>
      <c r="B69" s="52">
        <f>('Input Assumptions'!B$24/'EUI by End Use'!AE$4)*'EUI by End Use'!AN$4</f>
        <v>4.6662677640660553</v>
      </c>
      <c r="C69" s="46"/>
      <c r="D69" s="46"/>
      <c r="E69" s="46"/>
      <c r="F69" s="52">
        <f>('Input Assumptions'!$B$24/'EUI by End Use'!AE$4)*'EUI by End Use'!BC$4</f>
        <v>4.6662677640660553</v>
      </c>
      <c r="G69" s="52">
        <f t="shared" si="29"/>
        <v>0</v>
      </c>
      <c r="H69" s="46"/>
      <c r="I69" s="46"/>
      <c r="J69" s="46"/>
      <c r="K69" s="331">
        <f t="shared" si="27"/>
        <v>4.6662677640660553</v>
      </c>
      <c r="L69" s="52">
        <f t="shared" si="27"/>
        <v>4.6662677640660553</v>
      </c>
      <c r="M69" s="52">
        <f t="shared" si="27"/>
        <v>4.6662677640660553</v>
      </c>
      <c r="N69" s="52">
        <f t="shared" si="27"/>
        <v>4.6662677640660553</v>
      </c>
      <c r="O69" s="52">
        <f t="shared" si="27"/>
        <v>4.6662677640660553</v>
      </c>
      <c r="P69" s="52">
        <f t="shared" si="27"/>
        <v>4.6662677640660553</v>
      </c>
      <c r="Q69" s="52">
        <f t="shared" si="27"/>
        <v>4.6662677640660553</v>
      </c>
      <c r="R69" s="52">
        <f t="shared" si="27"/>
        <v>4.6662677640660553</v>
      </c>
      <c r="S69" s="52">
        <f t="shared" si="27"/>
        <v>4.6662677640660553</v>
      </c>
      <c r="T69" s="52">
        <f t="shared" si="27"/>
        <v>4.6662677640660553</v>
      </c>
      <c r="U69" s="52">
        <f t="shared" si="28"/>
        <v>4.6662677640660553</v>
      </c>
      <c r="V69" s="52">
        <f t="shared" si="28"/>
        <v>4.6662677640660553</v>
      </c>
      <c r="W69" s="52">
        <f t="shared" si="28"/>
        <v>4.6662677640660553</v>
      </c>
      <c r="X69" s="52">
        <f t="shared" si="28"/>
        <v>4.6662677640660553</v>
      </c>
      <c r="Y69" s="52">
        <f t="shared" si="28"/>
        <v>4.6662677640660553</v>
      </c>
      <c r="Z69" s="52">
        <f t="shared" si="28"/>
        <v>4.6662677640660553</v>
      </c>
      <c r="AA69" s="52">
        <f t="shared" si="28"/>
        <v>4.6662677640660553</v>
      </c>
      <c r="AB69" s="52">
        <f t="shared" si="28"/>
        <v>4.6662677640660553</v>
      </c>
      <c r="AC69" s="52">
        <f t="shared" si="28"/>
        <v>4.6662677640660553</v>
      </c>
      <c r="AD69" s="52">
        <f t="shared" si="28"/>
        <v>4.6662677640660553</v>
      </c>
      <c r="AE69" s="52">
        <f t="shared" si="28"/>
        <v>4.6662677640660553</v>
      </c>
      <c r="AF69" s="52">
        <f t="shared" si="28"/>
        <v>4.6662677640660553</v>
      </c>
      <c r="AG69" s="332">
        <f t="shared" si="28"/>
        <v>4.6662677640660553</v>
      </c>
    </row>
    <row r="70" spans="1:33">
      <c r="A70" s="48" t="s">
        <v>76</v>
      </c>
      <c r="B70" s="52">
        <f>B62-(SUM(B63:B69))</f>
        <v>8.6265278693802543</v>
      </c>
      <c r="C70" s="46"/>
      <c r="D70" s="46"/>
      <c r="E70" s="46"/>
      <c r="F70" s="52">
        <f>B70</f>
        <v>8.6265278693802543</v>
      </c>
      <c r="G70" s="52">
        <f t="shared" si="29"/>
        <v>0</v>
      </c>
      <c r="H70" s="46"/>
      <c r="I70" s="46"/>
      <c r="J70" s="46"/>
      <c r="K70" s="331">
        <f t="shared" si="27"/>
        <v>8.6265278693802543</v>
      </c>
      <c r="L70" s="52">
        <f t="shared" si="27"/>
        <v>8.6265278693802543</v>
      </c>
      <c r="M70" s="52">
        <f t="shared" si="27"/>
        <v>8.6265278693802543</v>
      </c>
      <c r="N70" s="52">
        <f t="shared" si="27"/>
        <v>8.6265278693802543</v>
      </c>
      <c r="O70" s="52">
        <f t="shared" si="27"/>
        <v>8.6265278693802543</v>
      </c>
      <c r="P70" s="52">
        <f t="shared" si="27"/>
        <v>8.6265278693802543</v>
      </c>
      <c r="Q70" s="52">
        <f t="shared" si="27"/>
        <v>8.6265278693802543</v>
      </c>
      <c r="R70" s="52">
        <f t="shared" si="27"/>
        <v>8.6265278693802543</v>
      </c>
      <c r="S70" s="52">
        <f t="shared" si="27"/>
        <v>8.6265278693802543</v>
      </c>
      <c r="T70" s="52">
        <f t="shared" si="27"/>
        <v>8.6265278693802543</v>
      </c>
      <c r="U70" s="52">
        <f t="shared" si="28"/>
        <v>8.6265278693802543</v>
      </c>
      <c r="V70" s="52">
        <f t="shared" si="28"/>
        <v>8.6265278693802543</v>
      </c>
      <c r="W70" s="52">
        <f t="shared" si="28"/>
        <v>8.6265278693802543</v>
      </c>
      <c r="X70" s="52">
        <f t="shared" si="28"/>
        <v>8.6265278693802543</v>
      </c>
      <c r="Y70" s="52">
        <f t="shared" si="28"/>
        <v>8.6265278693802543</v>
      </c>
      <c r="Z70" s="52">
        <f t="shared" si="28"/>
        <v>8.6265278693802543</v>
      </c>
      <c r="AA70" s="52">
        <f t="shared" si="28"/>
        <v>8.6265278693802543</v>
      </c>
      <c r="AB70" s="52">
        <f t="shared" si="28"/>
        <v>8.6265278693802543</v>
      </c>
      <c r="AC70" s="52">
        <f t="shared" si="28"/>
        <v>8.6265278693802543</v>
      </c>
      <c r="AD70" s="52">
        <f t="shared" si="28"/>
        <v>8.6265278693802543</v>
      </c>
      <c r="AE70" s="52">
        <f t="shared" si="28"/>
        <v>8.6265278693802543</v>
      </c>
      <c r="AF70" s="52">
        <f t="shared" si="28"/>
        <v>8.6265278693802543</v>
      </c>
      <c r="AG70" s="332">
        <f t="shared" si="28"/>
        <v>8.6265278693802543</v>
      </c>
    </row>
    <row r="71" spans="1:33">
      <c r="A71" s="48" t="s">
        <v>21</v>
      </c>
      <c r="B71" s="49">
        <f>(B60/1000)*B62</f>
        <v>733393.37028500857</v>
      </c>
      <c r="C71" s="46"/>
      <c r="D71" s="46"/>
      <c r="E71" s="46"/>
      <c r="F71" s="49">
        <f>(F60/1000)*F62</f>
        <v>603723.30655846104</v>
      </c>
      <c r="G71" s="38">
        <f t="shared" si="29"/>
        <v>129670.06372654752</v>
      </c>
      <c r="H71" s="46"/>
      <c r="I71" s="46"/>
      <c r="J71" s="46"/>
      <c r="K71" s="182">
        <f t="shared" si="27"/>
        <v>603723.30655846104</v>
      </c>
      <c r="L71" s="49">
        <f t="shared" si="27"/>
        <v>603723.30655846104</v>
      </c>
      <c r="M71" s="49">
        <f t="shared" si="27"/>
        <v>603723.30655846104</v>
      </c>
      <c r="N71" s="49">
        <f t="shared" si="27"/>
        <v>603723.30655846104</v>
      </c>
      <c r="O71" s="49">
        <f t="shared" si="27"/>
        <v>603723.30655846104</v>
      </c>
      <c r="P71" s="49">
        <f t="shared" si="27"/>
        <v>603723.30655846104</v>
      </c>
      <c r="Q71" s="49">
        <f t="shared" si="27"/>
        <v>603723.30655846104</v>
      </c>
      <c r="R71" s="49">
        <f t="shared" si="27"/>
        <v>603723.30655846104</v>
      </c>
      <c r="S71" s="49">
        <f t="shared" si="27"/>
        <v>603723.30655846104</v>
      </c>
      <c r="T71" s="49">
        <f t="shared" si="27"/>
        <v>603723.30655846104</v>
      </c>
      <c r="U71" s="49">
        <f t="shared" si="28"/>
        <v>603723.30655846104</v>
      </c>
      <c r="V71" s="49">
        <f t="shared" si="28"/>
        <v>603723.30655846104</v>
      </c>
      <c r="W71" s="49">
        <f t="shared" si="28"/>
        <v>603723.30655846104</v>
      </c>
      <c r="X71" s="49">
        <f t="shared" si="28"/>
        <v>603723.30655846104</v>
      </c>
      <c r="Y71" s="49">
        <f t="shared" si="28"/>
        <v>603723.30655846104</v>
      </c>
      <c r="Z71" s="49">
        <f t="shared" si="28"/>
        <v>603723.30655846104</v>
      </c>
      <c r="AA71" s="49">
        <f t="shared" si="28"/>
        <v>603723.30655846104</v>
      </c>
      <c r="AB71" s="49">
        <f t="shared" si="28"/>
        <v>603723.30655846104</v>
      </c>
      <c r="AC71" s="49">
        <f t="shared" si="28"/>
        <v>603723.30655846104</v>
      </c>
      <c r="AD71" s="49">
        <f t="shared" si="28"/>
        <v>603723.30655846104</v>
      </c>
      <c r="AE71" s="49">
        <f t="shared" si="28"/>
        <v>603723.30655846104</v>
      </c>
      <c r="AF71" s="49">
        <f t="shared" si="28"/>
        <v>603723.30655846104</v>
      </c>
      <c r="AG71" s="183">
        <f t="shared" si="28"/>
        <v>603723.30655846104</v>
      </c>
    </row>
    <row r="72" spans="1:33" ht="13.5" thickBot="1">
      <c r="A72" s="48" t="s">
        <v>22</v>
      </c>
      <c r="B72" s="54">
        <f>B71/8760000</f>
        <v>8.3720704370434773E-2</v>
      </c>
      <c r="C72" s="46"/>
      <c r="D72" s="46"/>
      <c r="E72" s="46"/>
      <c r="F72" s="54">
        <f>F71/8760000</f>
        <v>6.891818568018962E-2</v>
      </c>
      <c r="G72" s="55">
        <f t="shared" si="29"/>
        <v>1.4802518690245153E-2</v>
      </c>
      <c r="H72" s="46"/>
      <c r="I72" s="46"/>
      <c r="J72" s="46"/>
      <c r="K72" s="338">
        <f t="shared" si="27"/>
        <v>6.891818568018962E-2</v>
      </c>
      <c r="L72" s="54">
        <f t="shared" si="27"/>
        <v>6.891818568018962E-2</v>
      </c>
      <c r="M72" s="54">
        <f t="shared" si="27"/>
        <v>6.891818568018962E-2</v>
      </c>
      <c r="N72" s="54">
        <f t="shared" si="27"/>
        <v>6.891818568018962E-2</v>
      </c>
      <c r="O72" s="54">
        <f t="shared" si="27"/>
        <v>6.891818568018962E-2</v>
      </c>
      <c r="P72" s="54">
        <f t="shared" si="27"/>
        <v>6.891818568018962E-2</v>
      </c>
      <c r="Q72" s="54">
        <f t="shared" si="27"/>
        <v>6.891818568018962E-2</v>
      </c>
      <c r="R72" s="54">
        <f t="shared" si="27"/>
        <v>6.891818568018962E-2</v>
      </c>
      <c r="S72" s="54">
        <f t="shared" si="27"/>
        <v>6.891818568018962E-2</v>
      </c>
      <c r="T72" s="54">
        <f t="shared" si="27"/>
        <v>6.891818568018962E-2</v>
      </c>
      <c r="U72" s="54">
        <f t="shared" si="28"/>
        <v>6.891818568018962E-2</v>
      </c>
      <c r="V72" s="54">
        <f t="shared" si="28"/>
        <v>6.891818568018962E-2</v>
      </c>
      <c r="W72" s="54">
        <f t="shared" si="28"/>
        <v>6.891818568018962E-2</v>
      </c>
      <c r="X72" s="54">
        <f t="shared" si="28"/>
        <v>6.891818568018962E-2</v>
      </c>
      <c r="Y72" s="54">
        <f t="shared" si="28"/>
        <v>6.891818568018962E-2</v>
      </c>
      <c r="Z72" s="54">
        <f t="shared" si="28"/>
        <v>6.891818568018962E-2</v>
      </c>
      <c r="AA72" s="54">
        <f t="shared" si="28"/>
        <v>6.891818568018962E-2</v>
      </c>
      <c r="AB72" s="54">
        <f t="shared" si="28"/>
        <v>6.891818568018962E-2</v>
      </c>
      <c r="AC72" s="54">
        <f t="shared" si="28"/>
        <v>6.891818568018962E-2</v>
      </c>
      <c r="AD72" s="54">
        <f t="shared" si="28"/>
        <v>6.891818568018962E-2</v>
      </c>
      <c r="AE72" s="54">
        <f t="shared" si="28"/>
        <v>6.891818568018962E-2</v>
      </c>
      <c r="AF72" s="54">
        <f t="shared" si="28"/>
        <v>6.891818568018962E-2</v>
      </c>
      <c r="AG72" s="339">
        <f t="shared" si="28"/>
        <v>6.891818568018962E-2</v>
      </c>
    </row>
    <row r="73" spans="1:33" ht="13.5" thickBot="1">
      <c r="A73" s="677"/>
      <c r="B73" s="678"/>
      <c r="C73" s="678"/>
      <c r="D73" s="678"/>
      <c r="E73" s="678"/>
      <c r="F73" s="678"/>
      <c r="G73" s="679"/>
      <c r="H73" s="676" t="s">
        <v>24</v>
      </c>
      <c r="I73" s="673"/>
      <c r="J73" s="673"/>
      <c r="K73" s="340">
        <f t="shared" ref="K73:AF73" si="30">$B72+K44</f>
        <v>0.30360839767889236</v>
      </c>
      <c r="L73" s="341">
        <f t="shared" si="30"/>
        <v>0.30778156162796516</v>
      </c>
      <c r="M73" s="341">
        <f t="shared" si="30"/>
        <v>0.30767176059733381</v>
      </c>
      <c r="N73" s="341">
        <f t="shared" ca="1" si="30"/>
        <v>0.30753878035632487</v>
      </c>
      <c r="O73" s="341">
        <f t="shared" ca="1" si="30"/>
        <v>0.30798587506839292</v>
      </c>
      <c r="P73" s="341">
        <f t="shared" ca="1" si="30"/>
        <v>0.30798948208101362</v>
      </c>
      <c r="Q73" s="341">
        <f t="shared" ca="1" si="30"/>
        <v>0.30832159139651877</v>
      </c>
      <c r="R73" s="341">
        <f t="shared" ca="1" si="30"/>
        <v>0.30818871229769973</v>
      </c>
      <c r="S73" s="341">
        <f t="shared" ca="1" si="30"/>
        <v>0.30806235648985381</v>
      </c>
      <c r="T73" s="341">
        <f t="shared" ca="1" si="30"/>
        <v>0.30835814254928068</v>
      </c>
      <c r="U73" s="341">
        <f t="shared" ca="1" si="30"/>
        <v>0.30857303316779972</v>
      </c>
      <c r="V73" s="341">
        <f t="shared" ca="1" si="30"/>
        <v>0.30803465147741971</v>
      </c>
      <c r="W73" s="341">
        <f t="shared" ca="1" si="30"/>
        <v>0.30799959259317861</v>
      </c>
      <c r="X73" s="341">
        <f t="shared" ca="1" si="30"/>
        <v>0.30800200900381508</v>
      </c>
      <c r="Y73" s="341">
        <f t="shared" ca="1" si="30"/>
        <v>0.30660512224823844</v>
      </c>
      <c r="Z73" s="341">
        <f t="shared" ca="1" si="30"/>
        <v>0.30644662471270423</v>
      </c>
      <c r="AA73" s="341">
        <f t="shared" ca="1" si="30"/>
        <v>0.3061326808214983</v>
      </c>
      <c r="AB73" s="341">
        <f t="shared" ca="1" si="30"/>
        <v>0.30564488591622591</v>
      </c>
      <c r="AC73" s="341">
        <f t="shared" ca="1" si="30"/>
        <v>0.30505983674949771</v>
      </c>
      <c r="AD73" s="341">
        <f t="shared" ca="1" si="30"/>
        <v>0.3050588325320609</v>
      </c>
      <c r="AE73" s="341">
        <f t="shared" ca="1" si="30"/>
        <v>0.30421176077999201</v>
      </c>
      <c r="AF73" s="341">
        <f t="shared" ca="1" si="30"/>
        <v>0.30339013922540314</v>
      </c>
      <c r="AG73" s="342">
        <f t="shared" ref="AG73" ca="1" si="31">$B72+AG44</f>
        <v>0.30339915679523888</v>
      </c>
    </row>
    <row r="74" spans="1:33" ht="13.5" thickBot="1">
      <c r="A74" s="62" t="s">
        <v>25</v>
      </c>
      <c r="B74" s="65">
        <f>B57+B72</f>
        <v>0.29462039655257877</v>
      </c>
      <c r="C74" s="67"/>
      <c r="D74" s="67"/>
      <c r="E74" s="67"/>
      <c r="F74" s="65">
        <f>F57+F72</f>
        <v>0.26386226419900488</v>
      </c>
      <c r="G74" s="65">
        <f>G57+G72</f>
        <v>3.0758132353573914E-2</v>
      </c>
      <c r="H74" s="658" t="s">
        <v>26</v>
      </c>
      <c r="I74" s="659"/>
      <c r="J74" s="659"/>
      <c r="K74" s="333">
        <f t="shared" ref="K74:AF74" si="32">K57+K72</f>
        <v>0.27217027820872675</v>
      </c>
      <c r="L74" s="76">
        <f t="shared" si="32"/>
        <v>0.27602772148966487</v>
      </c>
      <c r="M74" s="76">
        <f t="shared" si="32"/>
        <v>0.27592622745467899</v>
      </c>
      <c r="N74" s="76">
        <f t="shared" ca="1" si="32"/>
        <v>0.27580330783219653</v>
      </c>
      <c r="O74" s="76">
        <f t="shared" ca="1" si="32"/>
        <v>0.27621657759922624</v>
      </c>
      <c r="P74" s="76">
        <f t="shared" ca="1" si="32"/>
        <v>0.2762199117233507</v>
      </c>
      <c r="Q74" s="76">
        <f t="shared" ca="1" si="32"/>
        <v>0.27652689531260477</v>
      </c>
      <c r="R74" s="76">
        <f t="shared" ca="1" si="32"/>
        <v>0.27640406918040106</v>
      </c>
      <c r="S74" s="76">
        <f t="shared" ca="1" si="32"/>
        <v>0.27628727281967069</v>
      </c>
      <c r="T74" s="76">
        <f t="shared" ca="1" si="32"/>
        <v>0.2765606811883462</v>
      </c>
      <c r="U74" s="76">
        <f t="shared" ca="1" si="32"/>
        <v>0.27675931425971817</v>
      </c>
      <c r="V74" s="76">
        <f t="shared" ca="1" si="32"/>
        <v>0.27626166382961748</v>
      </c>
      <c r="W74" s="76">
        <f t="shared" ca="1" si="32"/>
        <v>0.27622925732483999</v>
      </c>
      <c r="X74" s="76">
        <f t="shared" ca="1" si="32"/>
        <v>0.27623149092195898</v>
      </c>
      <c r="Y74" s="76">
        <f t="shared" ca="1" si="32"/>
        <v>0.27494028561699413</v>
      </c>
      <c r="Z74" s="76">
        <f t="shared" ca="1" si="32"/>
        <v>0.27479377921059533</v>
      </c>
      <c r="AA74" s="76">
        <f t="shared" ca="1" si="32"/>
        <v>0.27450358674068465</v>
      </c>
      <c r="AB74" s="76">
        <f t="shared" ca="1" si="32"/>
        <v>0.27405269595307558</v>
      </c>
      <c r="AC74" s="76">
        <f t="shared" ca="1" si="32"/>
        <v>0.27351190867398595</v>
      </c>
      <c r="AD74" s="76">
        <f t="shared" ca="1" si="32"/>
        <v>0.27351098043060718</v>
      </c>
      <c r="AE74" s="76">
        <f t="shared" ca="1" si="32"/>
        <v>0.27272799388170421</v>
      </c>
      <c r="AF74" s="76">
        <f t="shared" ca="1" si="32"/>
        <v>0.27196853209589861</v>
      </c>
      <c r="AG74" s="334">
        <f t="shared" ref="AG74" ca="1" si="33">AG57+AG72</f>
        <v>0.27197686744159738</v>
      </c>
    </row>
    <row r="75" spans="1:33" ht="13.5" thickBot="1">
      <c r="A75" s="68"/>
      <c r="B75" s="68"/>
      <c r="C75" s="68"/>
      <c r="D75" s="68"/>
      <c r="E75" s="68"/>
      <c r="F75" s="68"/>
      <c r="G75" s="69"/>
      <c r="H75" s="658" t="s">
        <v>27</v>
      </c>
      <c r="I75" s="659"/>
      <c r="J75" s="659"/>
      <c r="K75" s="335">
        <f t="shared" ref="K75:AF75" si="34">K73-K74</f>
        <v>3.1438119470165615E-2</v>
      </c>
      <c r="L75" s="336">
        <f t="shared" si="34"/>
        <v>3.1753840138300293E-2</v>
      </c>
      <c r="M75" s="336">
        <f t="shared" si="34"/>
        <v>3.1745533142654825E-2</v>
      </c>
      <c r="N75" s="336">
        <f t="shared" ca="1" si="34"/>
        <v>3.1735472524128339E-2</v>
      </c>
      <c r="O75" s="336">
        <f t="shared" ca="1" si="34"/>
        <v>3.176929746916668E-2</v>
      </c>
      <c r="P75" s="336">
        <f t="shared" ca="1" si="34"/>
        <v>3.1769570357662924E-2</v>
      </c>
      <c r="Q75" s="336">
        <f t="shared" ca="1" si="34"/>
        <v>3.1794696083913998E-2</v>
      </c>
      <c r="R75" s="336">
        <f t="shared" ca="1" si="34"/>
        <v>3.1784643117298672E-2</v>
      </c>
      <c r="S75" s="336">
        <f t="shared" ca="1" si="34"/>
        <v>3.1775083670183113E-2</v>
      </c>
      <c r="T75" s="336">
        <f t="shared" ca="1" si="34"/>
        <v>3.1797461360934476E-2</v>
      </c>
      <c r="U75" s="336">
        <f t="shared" ca="1" si="34"/>
        <v>3.1813718908081545E-2</v>
      </c>
      <c r="V75" s="336">
        <f t="shared" ca="1" si="34"/>
        <v>3.1772987647802231E-2</v>
      </c>
      <c r="W75" s="336">
        <f t="shared" ca="1" si="34"/>
        <v>3.1770335268338612E-2</v>
      </c>
      <c r="X75" s="336">
        <f t="shared" ca="1" si="34"/>
        <v>3.1770518081856103E-2</v>
      </c>
      <c r="Y75" s="336">
        <f t="shared" ca="1" si="34"/>
        <v>3.1664836631244309E-2</v>
      </c>
      <c r="Z75" s="336">
        <f t="shared" ca="1" si="34"/>
        <v>3.1652845502108895E-2</v>
      </c>
      <c r="AA75" s="336">
        <f t="shared" ca="1" si="34"/>
        <v>3.1629094080813658E-2</v>
      </c>
      <c r="AB75" s="336">
        <f t="shared" ca="1" si="34"/>
        <v>3.159218996315033E-2</v>
      </c>
      <c r="AC75" s="336">
        <f t="shared" ca="1" si="34"/>
        <v>3.1547928075511766E-2</v>
      </c>
      <c r="AD75" s="336">
        <f t="shared" ca="1" si="34"/>
        <v>3.1547852101453722E-2</v>
      </c>
      <c r="AE75" s="336">
        <f t="shared" ca="1" si="34"/>
        <v>3.1483766898287802E-2</v>
      </c>
      <c r="AF75" s="336">
        <f t="shared" ca="1" si="34"/>
        <v>3.1421607129504536E-2</v>
      </c>
      <c r="AG75" s="337">
        <f t="shared" ref="AG75" ca="1" si="35">AG73-AG74</f>
        <v>3.1422289353641497E-2</v>
      </c>
    </row>
    <row r="76" spans="1:33" ht="38.25">
      <c r="A76" s="35" t="s">
        <v>0</v>
      </c>
      <c r="B76" s="36" t="s">
        <v>1</v>
      </c>
      <c r="C76" s="36" t="s">
        <v>2</v>
      </c>
      <c r="D76" s="36" t="s">
        <v>3</v>
      </c>
    </row>
    <row r="77" spans="1:33" ht="13.5" thickBot="1">
      <c r="A77" s="37" t="s">
        <v>29</v>
      </c>
      <c r="B77" s="38">
        <f>'State Dairy Production Data'!AC26</f>
        <v>125767</v>
      </c>
      <c r="C77" s="38">
        <f>'State Dairy Production Data'!AD26</f>
        <v>20439</v>
      </c>
      <c r="D77" s="38">
        <f>'State Dairy Production Data'!AE26*1000000</f>
        <v>2513997000</v>
      </c>
    </row>
    <row r="78" spans="1:33" ht="13.5" thickBot="1">
      <c r="A78" s="34" t="s">
        <v>6</v>
      </c>
      <c r="B78" s="39" t="s">
        <v>5</v>
      </c>
      <c r="C78" s="40">
        <f>'Milk Production by Herd Size'!D23</f>
        <v>0.96577003506484216</v>
      </c>
    </row>
    <row r="79" spans="1:33" ht="13.5" thickBot="1">
      <c r="B79" s="39" t="s">
        <v>7</v>
      </c>
      <c r="C79" s="66">
        <f>'Milk Production by Herd Size'!C23</f>
        <v>3.4229964935157869E-2</v>
      </c>
      <c r="D79" s="43"/>
    </row>
    <row r="80" spans="1:33" ht="13.5" thickBot="1">
      <c r="A80" s="664" t="s">
        <v>8</v>
      </c>
      <c r="B80" s="665"/>
      <c r="C80" s="665"/>
      <c r="D80" s="665"/>
      <c r="E80" s="665"/>
      <c r="F80" s="665"/>
      <c r="G80" s="665"/>
      <c r="H80" s="665"/>
      <c r="I80" s="665"/>
      <c r="J80" s="666"/>
      <c r="K80" s="343">
        <v>2013</v>
      </c>
      <c r="L80" s="344">
        <v>2014</v>
      </c>
      <c r="M80" s="344">
        <v>2015</v>
      </c>
      <c r="N80" s="344">
        <v>2016</v>
      </c>
      <c r="O80" s="344">
        <v>2017</v>
      </c>
      <c r="P80" s="344">
        <v>2018</v>
      </c>
      <c r="Q80" s="344">
        <v>2019</v>
      </c>
      <c r="R80" s="344">
        <v>2020</v>
      </c>
      <c r="S80" s="344">
        <v>2021</v>
      </c>
      <c r="T80" s="344">
        <v>2022</v>
      </c>
      <c r="U80" s="344">
        <v>2023</v>
      </c>
      <c r="V80" s="344">
        <v>2024</v>
      </c>
      <c r="W80" s="344">
        <v>2025</v>
      </c>
      <c r="X80" s="344">
        <v>2026</v>
      </c>
      <c r="Y80" s="344">
        <v>2027</v>
      </c>
      <c r="Z80" s="344">
        <v>2028</v>
      </c>
      <c r="AA80" s="344">
        <v>2029</v>
      </c>
      <c r="AB80" s="344">
        <v>2030</v>
      </c>
      <c r="AC80" s="344">
        <v>2031</v>
      </c>
      <c r="AD80" s="344">
        <v>2032</v>
      </c>
      <c r="AE80" s="344">
        <v>2033</v>
      </c>
      <c r="AF80" s="344">
        <v>2034</v>
      </c>
      <c r="AG80" s="344">
        <v>2035</v>
      </c>
    </row>
    <row r="81" spans="1:33">
      <c r="A81" s="44" t="s">
        <v>9</v>
      </c>
      <c r="B81" s="45">
        <f>C78*B77</f>
        <v>121462</v>
      </c>
      <c r="C81" s="46"/>
      <c r="D81" s="46"/>
      <c r="E81" s="46"/>
      <c r="F81" s="45">
        <f>B81</f>
        <v>121462</v>
      </c>
      <c r="G81" s="46"/>
      <c r="H81" s="46"/>
      <c r="I81" s="46"/>
      <c r="J81" s="47" t="s">
        <v>11</v>
      </c>
      <c r="K81" s="321">
        <f t="shared" ref="K81:AF81" si="36">($B84*(K82/1000)/8760000)</f>
        <v>7.0934263226163052</v>
      </c>
      <c r="L81" s="322">
        <f t="shared" si="36"/>
        <v>7.5185064980632603</v>
      </c>
      <c r="M81" s="322">
        <f t="shared" si="36"/>
        <v>7.6447500614955475</v>
      </c>
      <c r="N81" s="322">
        <f t="shared" ca="1" si="36"/>
        <v>7.765916074629545</v>
      </c>
      <c r="O81" s="322">
        <f t="shared" ca="1" si="36"/>
        <v>7.8744372926906481</v>
      </c>
      <c r="P81" s="322">
        <f t="shared" ca="1" si="36"/>
        <v>7.9810091655978344</v>
      </c>
      <c r="Q81" s="322">
        <f t="shared" ca="1" si="36"/>
        <v>8.0822236908936844</v>
      </c>
      <c r="R81" s="322">
        <f t="shared" ca="1" si="36"/>
        <v>8.1839637400291068</v>
      </c>
      <c r="S81" s="322">
        <f t="shared" ca="1" si="36"/>
        <v>8.2889509493167477</v>
      </c>
      <c r="T81" s="322">
        <f t="shared" ca="1" si="36"/>
        <v>8.4077602804348306</v>
      </c>
      <c r="U81" s="322">
        <f t="shared" ca="1" si="36"/>
        <v>8.5364757778642097</v>
      </c>
      <c r="V81" s="322">
        <f t="shared" ca="1" si="36"/>
        <v>8.6724168624830806</v>
      </c>
      <c r="W81" s="322">
        <f t="shared" ca="1" si="36"/>
        <v>8.8150297105543345</v>
      </c>
      <c r="X81" s="322">
        <f t="shared" ca="1" si="36"/>
        <v>8.9670108956203514</v>
      </c>
      <c r="Y81" s="322">
        <f t="shared" ca="1" si="36"/>
        <v>9.1128715237773221</v>
      </c>
      <c r="Z81" s="322">
        <f t="shared" ca="1" si="36"/>
        <v>9.2585430271032099</v>
      </c>
      <c r="AA81" s="322">
        <f t="shared" ca="1" si="36"/>
        <v>9.4020799260899093</v>
      </c>
      <c r="AB81" s="322">
        <f t="shared" ca="1" si="36"/>
        <v>9.564239883783479</v>
      </c>
      <c r="AC81" s="322">
        <f t="shared" ca="1" si="36"/>
        <v>9.6967264798654131</v>
      </c>
      <c r="AD81" s="322">
        <f t="shared" ca="1" si="36"/>
        <v>9.8401896584122657</v>
      </c>
      <c r="AE81" s="322">
        <f t="shared" ca="1" si="36"/>
        <v>10.000979414423474</v>
      </c>
      <c r="AF81" s="322">
        <f t="shared" ca="1" si="36"/>
        <v>10.141291346659514</v>
      </c>
      <c r="AG81" s="323">
        <f t="shared" ref="AG81" ca="1" si="37">($B84*(AG82/1000)/8760000)</f>
        <v>10.29651750544563</v>
      </c>
    </row>
    <row r="82" spans="1:33">
      <c r="A82" s="48" t="s">
        <v>3</v>
      </c>
      <c r="B82" s="49">
        <f>D77*C78</f>
        <v>2427942970.8429079</v>
      </c>
      <c r="C82" s="46"/>
      <c r="D82" s="46"/>
      <c r="E82" s="46"/>
      <c r="F82" s="49">
        <f>B82</f>
        <v>2427942970.8429079</v>
      </c>
      <c r="G82" s="46"/>
      <c r="H82" s="46"/>
      <c r="I82" s="46"/>
      <c r="J82" s="57"/>
      <c r="K82" s="182">
        <f>'[2]Dairy Forecast (Base Case)'!C$159*1000000-$F97</f>
        <v>2427945970.8429079</v>
      </c>
      <c r="L82" s="182">
        <f>'[2]Dairy Forecast (Base Case)'!D$159*1000000-$F97</f>
        <v>2573442893.2499299</v>
      </c>
      <c r="M82" s="182">
        <f>'[2]Dairy Forecast (Base Case)'!E$159*1000000-$F97</f>
        <v>2616653682.6822534</v>
      </c>
      <c r="N82" s="38">
        <f ca="1">(INDEX([2]!tbl_Forecast,MATCH('SC-Retro'!$D$8&amp;'Input Assumptions'!$A$77&amp;"Dairy"&amp;'SC-Retro'!$D$7,[2]!rng_ForecastRowLookup,0),MATCH('Input Assumptions'!N$6,[2]!rng_ForecastColumnLookup,0))*1000000-$F97)</f>
        <v>2658126522.4654517</v>
      </c>
      <c r="O82" s="38">
        <f ca="1">(INDEX([2]!tbl_Forecast,MATCH('SC-Retro'!$D$8&amp;'Input Assumptions'!$A$77&amp;"Dairy"&amp;'SC-Retro'!$D$7,[2]!rng_ForecastRowLookup,0),MATCH('Input Assumptions'!O$6,[2]!rng_ForecastColumnLookup,0))*1000000-$F97)</f>
        <v>2695271287.5139508</v>
      </c>
      <c r="P82" s="38">
        <f ca="1">(INDEX([2]!tbl_Forecast,MATCH('SC-Retro'!$D$8&amp;'Input Assumptions'!$A$77&amp;"Dairy"&amp;'SC-Retro'!$D$7,[2]!rng_ForecastRowLookup,0),MATCH('Input Assumptions'!P$6,[2]!rng_ForecastColumnLookup,0))*1000000-$F97)</f>
        <v>2731748828.5021749</v>
      </c>
      <c r="Q82" s="38">
        <f ca="1">(INDEX([2]!tbl_Forecast,MATCH('SC-Retro'!$D$8&amp;'Input Assumptions'!$A$77&amp;"Dairy"&amp;'SC-Retro'!$D$7,[2]!rng_ForecastRowLookup,0),MATCH('Input Assumptions'!Q$6,[2]!rng_ForecastColumnLookup,0))*1000000-$F97)</f>
        <v>2766392650.5010471</v>
      </c>
      <c r="R82" s="38">
        <f ca="1">(INDEX([2]!tbl_Forecast,MATCH('SC-Retro'!$D$8&amp;'Input Assumptions'!$A$77&amp;"Dairy"&amp;'SC-Retro'!$D$7,[2]!rng_ForecastRowLookup,0),MATCH('Input Assumptions'!R$6,[2]!rng_ForecastColumnLookup,0))*1000000-$F97)</f>
        <v>2801216349.3930941</v>
      </c>
      <c r="S82" s="38">
        <f ca="1">(INDEX([2]!tbl_Forecast,MATCH('SC-Retro'!$D$8&amp;'Input Assumptions'!$A$77&amp;"Dairy"&amp;'SC-Retro'!$D$7,[2]!rng_ForecastRowLookup,0),MATCH('Input Assumptions'!S$6,[2]!rng_ForecastColumnLookup,0))*1000000-$F97)</f>
        <v>2837151489.9283876</v>
      </c>
      <c r="T82" s="38">
        <f ca="1">(INDEX([2]!tbl_Forecast,MATCH('SC-Retro'!$D$8&amp;'Input Assumptions'!$A$77&amp;"Dairy"&amp;'SC-Retro'!$D$7,[2]!rng_ForecastRowLookup,0),MATCH('Input Assumptions'!T$6,[2]!rng_ForecastColumnLookup,0))*1000000-$F97)</f>
        <v>2877817681.9302654</v>
      </c>
      <c r="U82" s="38">
        <f ca="1">(INDEX([2]!tbl_Forecast,MATCH('SC-Retro'!$D$8&amp;'Input Assumptions'!$A$77&amp;"Dairy"&amp;'SC-Retro'!$D$7,[2]!rng_ForecastRowLookup,0),MATCH('Input Assumptions'!U$6,[2]!rng_ForecastColumnLookup,0))*1000000-$F97)</f>
        <v>2921874567.722157</v>
      </c>
      <c r="V82" s="38">
        <f ca="1">(INDEX([2]!tbl_Forecast,MATCH('SC-Retro'!$D$8&amp;'Input Assumptions'!$A$77&amp;"Dairy"&amp;'SC-Retro'!$D$7,[2]!rng_ForecastRowLookup,0),MATCH('Input Assumptions'!V$6,[2]!rng_ForecastColumnLookup,0))*1000000-$F97)</f>
        <v>2968404635.6556277</v>
      </c>
      <c r="W82" s="38">
        <f ca="1">(INDEX([2]!tbl_Forecast,MATCH('SC-Retro'!$D$8&amp;'Input Assumptions'!$A$77&amp;"Dairy"&amp;'SC-Retro'!$D$7,[2]!rng_ForecastRowLookup,0),MATCH('Input Assumptions'!W$6,[2]!rng_ForecastColumnLookup,0))*1000000-$F97)</f>
        <v>3017218322.3166203</v>
      </c>
      <c r="X82" s="38">
        <f ca="1">(INDEX([2]!tbl_Forecast,MATCH('SC-Retro'!$D$8&amp;'Input Assumptions'!$A$77&amp;"Dairy"&amp;'SC-Retro'!$D$7,[2]!rng_ForecastRowLookup,0),MATCH('Input Assumptions'!X$6,[2]!rng_ForecastColumnLookup,0))*1000000-$F97)</f>
        <v>3069238613.9419045</v>
      </c>
      <c r="Y82" s="38">
        <f ca="1">(INDEX([2]!tbl_Forecast,MATCH('SC-Retro'!$D$8&amp;'Input Assumptions'!$A$77&amp;"Dairy"&amp;'SC-Retro'!$D$7,[2]!rng_ForecastRowLookup,0),MATCH('Input Assumptions'!Y$6,[2]!rng_ForecastColumnLookup,0))*1000000-$F97)</f>
        <v>3119163954.4376826</v>
      </c>
      <c r="Z82" s="38">
        <f ca="1">(INDEX([2]!tbl_Forecast,MATCH('SC-Retro'!$D$8&amp;'Input Assumptions'!$A$77&amp;"Dairy"&amp;'SC-Retro'!$D$7,[2]!rng_ForecastRowLookup,0),MATCH('Input Assumptions'!Z$6,[2]!rng_ForecastColumnLookup,0))*1000000-$F97)</f>
        <v>3169024561.0727372</v>
      </c>
      <c r="AA82" s="38">
        <f ca="1">(INDEX([2]!tbl_Forecast,MATCH('SC-Retro'!$D$8&amp;'Input Assumptions'!$A$77&amp;"Dairy"&amp;'SC-Retro'!$D$7,[2]!rng_ForecastRowLookup,0),MATCH('Input Assumptions'!AA$6,[2]!rng_ForecastColumnLookup,0))*1000000-$F97)</f>
        <v>3218154532.9244084</v>
      </c>
      <c r="AB82" s="38">
        <f ca="1">(INDEX([2]!tbl_Forecast,MATCH('SC-Retro'!$D$8&amp;'Input Assumptions'!$A$77&amp;"Dairy"&amp;'SC-Retro'!$D$7,[2]!rng_ForecastRowLookup,0),MATCH('Input Assumptions'!AB$6,[2]!rng_ForecastColumnLookup,0))*1000000-$F97)</f>
        <v>3273658826.3374319</v>
      </c>
      <c r="AC82" s="38">
        <f ca="1">(INDEX([2]!tbl_Forecast,MATCH('SC-Retro'!$D$8&amp;'Input Assumptions'!$A$77&amp;"Dairy"&amp;'SC-Retro'!$D$7,[2]!rng_ForecastRowLookup,0),MATCH('Input Assumptions'!AC$6,[2]!rng_ForecastColumnLookup,0))*1000000-$F97)</f>
        <v>3319006488.0340409</v>
      </c>
      <c r="AD82" s="38">
        <f ca="1">(INDEX([2]!tbl_Forecast,MATCH('SC-Retro'!$D$8&amp;'Input Assumptions'!$A$77&amp;"Dairy"&amp;'SC-Retro'!$D$7,[2]!rng_ForecastRowLookup,0),MATCH('Input Assumptions'!AD$6,[2]!rng_ForecastColumnLookup,0))*1000000-$F97)</f>
        <v>3368111226.7703242</v>
      </c>
      <c r="AE82" s="38">
        <f ca="1">(INDEX([2]!tbl_Forecast,MATCH('SC-Retro'!$D$8&amp;'Input Assumptions'!$A$77&amp;"Dairy"&amp;'SC-Retro'!$D$7,[2]!rng_ForecastRowLookup,0),MATCH('Input Assumptions'!AE$6,[2]!rng_ForecastColumnLookup,0))*1000000-$F97)</f>
        <v>3423146526.0044236</v>
      </c>
      <c r="AF82" s="38">
        <f ca="1">(INDEX([2]!tbl_Forecast,MATCH('SC-Retro'!$D$8&amp;'Input Assumptions'!$A$77&amp;"Dairy"&amp;'SC-Retro'!$D$7,[2]!rng_ForecastRowLookup,0),MATCH('Input Assumptions'!AF$6,[2]!rng_ForecastColumnLookup,0))*1000000-$F97)</f>
        <v>3471172652.5953922</v>
      </c>
      <c r="AG82" s="38">
        <f ca="1">(INDEX([2]!tbl_Forecast,MATCH('SC-Retro'!$D$8&amp;'Input Assumptions'!$A$77&amp;"Dairy"&amp;'SC-Retro'!$D$7,[2]!rng_ForecastRowLookup,0),MATCH('Input Assumptions'!AG$6,[2]!rng_ForecastColumnLookup,0))*1000000-$F97)</f>
        <v>3524303637.4894686</v>
      </c>
    </row>
    <row r="83" spans="1:33">
      <c r="A83" s="48" t="s">
        <v>12</v>
      </c>
      <c r="B83" s="49">
        <f>C77</f>
        <v>20439</v>
      </c>
      <c r="C83" s="46"/>
      <c r="D83" s="46"/>
      <c r="E83" s="46"/>
      <c r="F83" s="49">
        <f>B83</f>
        <v>20439</v>
      </c>
      <c r="G83" s="51"/>
      <c r="H83" s="51"/>
      <c r="I83" s="51"/>
      <c r="J83" s="58"/>
      <c r="K83" s="182">
        <f t="shared" ref="K83:T92" si="38">$F83</f>
        <v>20439</v>
      </c>
      <c r="L83" s="49">
        <f t="shared" si="38"/>
        <v>20439</v>
      </c>
      <c r="M83" s="49">
        <f t="shared" si="38"/>
        <v>20439</v>
      </c>
      <c r="N83" s="49">
        <f t="shared" si="38"/>
        <v>20439</v>
      </c>
      <c r="O83" s="49">
        <f t="shared" si="38"/>
        <v>20439</v>
      </c>
      <c r="P83" s="49">
        <f t="shared" si="38"/>
        <v>20439</v>
      </c>
      <c r="Q83" s="49">
        <f t="shared" si="38"/>
        <v>20439</v>
      </c>
      <c r="R83" s="49">
        <f t="shared" si="38"/>
        <v>20439</v>
      </c>
      <c r="S83" s="49">
        <f t="shared" si="38"/>
        <v>20439</v>
      </c>
      <c r="T83" s="49">
        <f t="shared" si="38"/>
        <v>20439</v>
      </c>
      <c r="U83" s="49">
        <f t="shared" ref="U83:AG92" si="39">$F83</f>
        <v>20439</v>
      </c>
      <c r="V83" s="49">
        <f t="shared" si="39"/>
        <v>20439</v>
      </c>
      <c r="W83" s="49">
        <f t="shared" si="39"/>
        <v>20439</v>
      </c>
      <c r="X83" s="49">
        <f t="shared" si="39"/>
        <v>20439</v>
      </c>
      <c r="Y83" s="49">
        <f t="shared" si="39"/>
        <v>20439</v>
      </c>
      <c r="Z83" s="49">
        <f t="shared" si="39"/>
        <v>20439</v>
      </c>
      <c r="AA83" s="49">
        <f t="shared" si="39"/>
        <v>20439</v>
      </c>
      <c r="AB83" s="49">
        <f t="shared" si="39"/>
        <v>20439</v>
      </c>
      <c r="AC83" s="49">
        <f t="shared" si="39"/>
        <v>20439</v>
      </c>
      <c r="AD83" s="49">
        <f t="shared" si="39"/>
        <v>20439</v>
      </c>
      <c r="AE83" s="49">
        <f t="shared" si="39"/>
        <v>20439</v>
      </c>
      <c r="AF83" s="49">
        <f t="shared" si="39"/>
        <v>20439</v>
      </c>
      <c r="AG83" s="183">
        <f t="shared" si="39"/>
        <v>20439</v>
      </c>
    </row>
    <row r="84" spans="1:33" ht="13.5" thickBot="1">
      <c r="A84" s="48" t="s">
        <v>278</v>
      </c>
      <c r="B84" s="52">
        <f>('Input Assumptions'!B$9/'EUI by End Use'!AE$3)*'EUI by End Use'!AG$3</f>
        <v>25.592997262845305</v>
      </c>
      <c r="C84" s="46"/>
      <c r="D84" s="46"/>
      <c r="E84" s="46"/>
      <c r="F84" s="52">
        <f>SUM(F85:F92)</f>
        <v>23.656759364214729</v>
      </c>
      <c r="G84" s="52">
        <f t="shared" ref="G84:G94" si="40">B84-F84</f>
        <v>1.9362378986305764</v>
      </c>
      <c r="H84" s="46"/>
      <c r="I84" s="46"/>
      <c r="J84" s="57"/>
      <c r="K84" s="325">
        <f t="shared" si="38"/>
        <v>23.656759364214729</v>
      </c>
      <c r="L84" s="53">
        <f t="shared" si="38"/>
        <v>23.656759364214729</v>
      </c>
      <c r="M84" s="53">
        <f t="shared" si="38"/>
        <v>23.656759364214729</v>
      </c>
      <c r="N84" s="53">
        <f t="shared" si="38"/>
        <v>23.656759364214729</v>
      </c>
      <c r="O84" s="53">
        <f t="shared" si="38"/>
        <v>23.656759364214729</v>
      </c>
      <c r="P84" s="53">
        <f t="shared" si="38"/>
        <v>23.656759364214729</v>
      </c>
      <c r="Q84" s="53">
        <f t="shared" si="38"/>
        <v>23.656759364214729</v>
      </c>
      <c r="R84" s="53">
        <f t="shared" si="38"/>
        <v>23.656759364214729</v>
      </c>
      <c r="S84" s="53">
        <f t="shared" si="38"/>
        <v>23.656759364214729</v>
      </c>
      <c r="T84" s="53">
        <f t="shared" si="38"/>
        <v>23.656759364214729</v>
      </c>
      <c r="U84" s="53">
        <f t="shared" si="39"/>
        <v>23.656759364214729</v>
      </c>
      <c r="V84" s="53">
        <f t="shared" si="39"/>
        <v>23.656759364214729</v>
      </c>
      <c r="W84" s="53">
        <f t="shared" si="39"/>
        <v>23.656759364214729</v>
      </c>
      <c r="X84" s="53">
        <f t="shared" si="39"/>
        <v>23.656759364214729</v>
      </c>
      <c r="Y84" s="53">
        <f t="shared" si="39"/>
        <v>23.656759364214729</v>
      </c>
      <c r="Z84" s="53">
        <f t="shared" si="39"/>
        <v>23.656759364214729</v>
      </c>
      <c r="AA84" s="53">
        <f t="shared" si="39"/>
        <v>23.656759364214729</v>
      </c>
      <c r="AB84" s="53">
        <f t="shared" si="39"/>
        <v>23.656759364214729</v>
      </c>
      <c r="AC84" s="53">
        <f t="shared" si="39"/>
        <v>23.656759364214729</v>
      </c>
      <c r="AD84" s="53">
        <f t="shared" si="39"/>
        <v>23.656759364214729</v>
      </c>
      <c r="AE84" s="53">
        <f t="shared" si="39"/>
        <v>23.656759364214729</v>
      </c>
      <c r="AF84" s="53">
        <f t="shared" si="39"/>
        <v>23.656759364214729</v>
      </c>
      <c r="AG84" s="326">
        <f t="shared" si="39"/>
        <v>23.656759364214729</v>
      </c>
    </row>
    <row r="85" spans="1:33">
      <c r="A85" s="396" t="s">
        <v>271</v>
      </c>
      <c r="B85" s="397">
        <f>('Input Assumptions'!B$9/'EUI by End Use'!AE$3)*'EUI by End Use'!AH$3</f>
        <v>3.6882356967616712</v>
      </c>
      <c r="C85" s="238"/>
      <c r="D85" s="238"/>
      <c r="E85" s="238"/>
      <c r="F85" s="397">
        <f>('Input Assumptions'!$B$9/'EUI by End Use'!AE$3)*'EUI by End Use'!AW$3</f>
        <v>2.8519565503167708</v>
      </c>
      <c r="G85" s="398">
        <f t="shared" si="40"/>
        <v>0.83627914644490042</v>
      </c>
      <c r="H85" s="311"/>
      <c r="I85" s="311"/>
      <c r="J85" s="57"/>
      <c r="K85" s="327">
        <f t="shared" si="38"/>
        <v>2.8519565503167708</v>
      </c>
      <c r="L85" s="320">
        <f t="shared" si="38"/>
        <v>2.8519565503167708</v>
      </c>
      <c r="M85" s="320">
        <f t="shared" si="38"/>
        <v>2.8519565503167708</v>
      </c>
      <c r="N85" s="320">
        <f t="shared" si="38"/>
        <v>2.8519565503167708</v>
      </c>
      <c r="O85" s="320">
        <f t="shared" si="38"/>
        <v>2.8519565503167708</v>
      </c>
      <c r="P85" s="320">
        <f t="shared" si="38"/>
        <v>2.8519565503167708</v>
      </c>
      <c r="Q85" s="320">
        <f t="shared" si="38"/>
        <v>2.8519565503167708</v>
      </c>
      <c r="R85" s="320">
        <f t="shared" si="38"/>
        <v>2.8519565503167708</v>
      </c>
      <c r="S85" s="320">
        <f t="shared" si="38"/>
        <v>2.8519565503167708</v>
      </c>
      <c r="T85" s="320">
        <f t="shared" si="38"/>
        <v>2.8519565503167708</v>
      </c>
      <c r="U85" s="320">
        <f t="shared" si="39"/>
        <v>2.8519565503167708</v>
      </c>
      <c r="V85" s="320">
        <f t="shared" si="39"/>
        <v>2.8519565503167708</v>
      </c>
      <c r="W85" s="320">
        <f t="shared" si="39"/>
        <v>2.8519565503167708</v>
      </c>
      <c r="X85" s="320">
        <f t="shared" si="39"/>
        <v>2.8519565503167708</v>
      </c>
      <c r="Y85" s="320">
        <f t="shared" si="39"/>
        <v>2.8519565503167708</v>
      </c>
      <c r="Z85" s="320">
        <f t="shared" si="39"/>
        <v>2.8519565503167708</v>
      </c>
      <c r="AA85" s="320">
        <f t="shared" si="39"/>
        <v>2.8519565503167708</v>
      </c>
      <c r="AB85" s="320">
        <f t="shared" si="39"/>
        <v>2.8519565503167708</v>
      </c>
      <c r="AC85" s="320">
        <f t="shared" si="39"/>
        <v>2.8519565503167708</v>
      </c>
      <c r="AD85" s="320">
        <f t="shared" si="39"/>
        <v>2.8519565503167708</v>
      </c>
      <c r="AE85" s="320">
        <f t="shared" si="39"/>
        <v>2.8519565503167708</v>
      </c>
      <c r="AF85" s="320">
        <f t="shared" si="39"/>
        <v>2.8519565503167708</v>
      </c>
      <c r="AG85" s="328">
        <f t="shared" si="39"/>
        <v>2.8519565503167708</v>
      </c>
    </row>
    <row r="86" spans="1:33">
      <c r="A86" s="48" t="s">
        <v>272</v>
      </c>
      <c r="B86" s="52">
        <f>('Input Assumptions'!B$9/'EUI by End Use'!AE$3)*'EUI by End Use'!AI$3</f>
        <v>5.6284064145770918</v>
      </c>
      <c r="C86" s="46"/>
      <c r="D86" s="46"/>
      <c r="E86" s="46"/>
      <c r="F86" s="52">
        <f>('Input Assumptions'!$B$9/'EUI by End Use'!AE$3)*'EUI by End Use'!AX$3</f>
        <v>4.8102681496237576</v>
      </c>
      <c r="G86" s="332">
        <f t="shared" si="40"/>
        <v>0.81813826495333419</v>
      </c>
      <c r="H86" s="311"/>
      <c r="I86" s="311"/>
      <c r="J86" s="57"/>
      <c r="K86" s="327">
        <f t="shared" si="38"/>
        <v>4.8102681496237576</v>
      </c>
      <c r="L86" s="320">
        <f t="shared" si="38"/>
        <v>4.8102681496237576</v>
      </c>
      <c r="M86" s="320">
        <f t="shared" si="38"/>
        <v>4.8102681496237576</v>
      </c>
      <c r="N86" s="320">
        <f t="shared" si="38"/>
        <v>4.8102681496237576</v>
      </c>
      <c r="O86" s="320">
        <f t="shared" si="38"/>
        <v>4.8102681496237576</v>
      </c>
      <c r="P86" s="320">
        <f t="shared" si="38"/>
        <v>4.8102681496237576</v>
      </c>
      <c r="Q86" s="320">
        <f t="shared" si="38"/>
        <v>4.8102681496237576</v>
      </c>
      <c r="R86" s="320">
        <f t="shared" si="38"/>
        <v>4.8102681496237576</v>
      </c>
      <c r="S86" s="320">
        <f t="shared" si="38"/>
        <v>4.8102681496237576</v>
      </c>
      <c r="T86" s="320">
        <f t="shared" si="38"/>
        <v>4.8102681496237576</v>
      </c>
      <c r="U86" s="320">
        <f t="shared" si="39"/>
        <v>4.8102681496237576</v>
      </c>
      <c r="V86" s="320">
        <f t="shared" si="39"/>
        <v>4.8102681496237576</v>
      </c>
      <c r="W86" s="320">
        <f t="shared" si="39"/>
        <v>4.8102681496237576</v>
      </c>
      <c r="X86" s="320">
        <f t="shared" si="39"/>
        <v>4.8102681496237576</v>
      </c>
      <c r="Y86" s="320">
        <f t="shared" si="39"/>
        <v>4.8102681496237576</v>
      </c>
      <c r="Z86" s="320">
        <f t="shared" si="39"/>
        <v>4.8102681496237576</v>
      </c>
      <c r="AA86" s="320">
        <f t="shared" si="39"/>
        <v>4.8102681496237576</v>
      </c>
      <c r="AB86" s="320">
        <f t="shared" si="39"/>
        <v>4.8102681496237576</v>
      </c>
      <c r="AC86" s="320">
        <f t="shared" si="39"/>
        <v>4.8102681496237576</v>
      </c>
      <c r="AD86" s="320">
        <f t="shared" si="39"/>
        <v>4.8102681496237576</v>
      </c>
      <c r="AE86" s="320">
        <f t="shared" si="39"/>
        <v>4.8102681496237576</v>
      </c>
      <c r="AF86" s="320">
        <f t="shared" si="39"/>
        <v>4.8102681496237576</v>
      </c>
      <c r="AG86" s="328">
        <f t="shared" si="39"/>
        <v>4.8102681496237576</v>
      </c>
    </row>
    <row r="87" spans="1:33" ht="13.5" thickBot="1">
      <c r="A87" s="399" t="s">
        <v>273</v>
      </c>
      <c r="B87" s="400">
        <f>('Input Assumptions'!B$9/'EUI by End Use'!AE$3)*'EUI by End Use'!AJ$3</f>
        <v>5.6272274293947655</v>
      </c>
      <c r="C87" s="64"/>
      <c r="D87" s="64"/>
      <c r="E87" s="64"/>
      <c r="F87" s="400">
        <f>('Input Assumptions'!$B$9/'EUI by End Use'!AE$3)*'EUI by End Use'!AY$3</f>
        <v>5.3454069421624206</v>
      </c>
      <c r="G87" s="401">
        <f t="shared" si="40"/>
        <v>0.28182048723234487</v>
      </c>
      <c r="H87" s="311"/>
      <c r="I87" s="311"/>
      <c r="J87" s="57"/>
      <c r="K87" s="327">
        <f t="shared" si="38"/>
        <v>5.3454069421624206</v>
      </c>
      <c r="L87" s="320">
        <f t="shared" si="38"/>
        <v>5.3454069421624206</v>
      </c>
      <c r="M87" s="320">
        <f t="shared" si="38"/>
        <v>5.3454069421624206</v>
      </c>
      <c r="N87" s="320">
        <f t="shared" si="38"/>
        <v>5.3454069421624206</v>
      </c>
      <c r="O87" s="320">
        <f t="shared" si="38"/>
        <v>5.3454069421624206</v>
      </c>
      <c r="P87" s="320">
        <f t="shared" si="38"/>
        <v>5.3454069421624206</v>
      </c>
      <c r="Q87" s="320">
        <f t="shared" si="38"/>
        <v>5.3454069421624206</v>
      </c>
      <c r="R87" s="320">
        <f t="shared" si="38"/>
        <v>5.3454069421624206</v>
      </c>
      <c r="S87" s="320">
        <f t="shared" si="38"/>
        <v>5.3454069421624206</v>
      </c>
      <c r="T87" s="320">
        <f t="shared" si="38"/>
        <v>5.3454069421624206</v>
      </c>
      <c r="U87" s="320">
        <f t="shared" si="39"/>
        <v>5.3454069421624206</v>
      </c>
      <c r="V87" s="320">
        <f t="shared" si="39"/>
        <v>5.3454069421624206</v>
      </c>
      <c r="W87" s="320">
        <f t="shared" si="39"/>
        <v>5.3454069421624206</v>
      </c>
      <c r="X87" s="320">
        <f t="shared" si="39"/>
        <v>5.3454069421624206</v>
      </c>
      <c r="Y87" s="320">
        <f t="shared" si="39"/>
        <v>5.3454069421624206</v>
      </c>
      <c r="Z87" s="320">
        <f t="shared" si="39"/>
        <v>5.3454069421624206</v>
      </c>
      <c r="AA87" s="320">
        <f t="shared" si="39"/>
        <v>5.3454069421624206</v>
      </c>
      <c r="AB87" s="320">
        <f t="shared" si="39"/>
        <v>5.3454069421624206</v>
      </c>
      <c r="AC87" s="320">
        <f t="shared" si="39"/>
        <v>5.3454069421624206</v>
      </c>
      <c r="AD87" s="320">
        <f t="shared" si="39"/>
        <v>5.3454069421624206</v>
      </c>
      <c r="AE87" s="320">
        <f t="shared" si="39"/>
        <v>5.3454069421624206</v>
      </c>
      <c r="AF87" s="320">
        <f t="shared" si="39"/>
        <v>5.3454069421624206</v>
      </c>
      <c r="AG87" s="328">
        <f t="shared" si="39"/>
        <v>5.3454069421624206</v>
      </c>
    </row>
    <row r="88" spans="1:33">
      <c r="A88" s="48" t="s">
        <v>274</v>
      </c>
      <c r="B88" s="52">
        <f>('Input Assumptions'!B$9/'EUI by End Use'!AE$3)*'EUI by End Use'!AK$3</f>
        <v>4.7444343055011418</v>
      </c>
      <c r="C88" s="46"/>
      <c r="D88" s="46"/>
      <c r="E88" s="46"/>
      <c r="F88" s="52">
        <f>('Input Assumptions'!$B$9/'EUI by End Use'!AE$3)*'EUI by End Use'!AZ$3</f>
        <v>4.7444343055011418</v>
      </c>
      <c r="G88" s="52">
        <f t="shared" si="40"/>
        <v>0</v>
      </c>
      <c r="H88" s="46"/>
      <c r="I88" s="46"/>
      <c r="J88" s="57"/>
      <c r="K88" s="325">
        <f t="shared" si="38"/>
        <v>4.7444343055011418</v>
      </c>
      <c r="L88" s="53">
        <f t="shared" si="38"/>
        <v>4.7444343055011418</v>
      </c>
      <c r="M88" s="53">
        <f t="shared" si="38"/>
        <v>4.7444343055011418</v>
      </c>
      <c r="N88" s="53">
        <f t="shared" si="38"/>
        <v>4.7444343055011418</v>
      </c>
      <c r="O88" s="53">
        <f t="shared" si="38"/>
        <v>4.7444343055011418</v>
      </c>
      <c r="P88" s="53">
        <f t="shared" si="38"/>
        <v>4.7444343055011418</v>
      </c>
      <c r="Q88" s="53">
        <f t="shared" si="38"/>
        <v>4.7444343055011418</v>
      </c>
      <c r="R88" s="53">
        <f t="shared" si="38"/>
        <v>4.7444343055011418</v>
      </c>
      <c r="S88" s="53">
        <f t="shared" si="38"/>
        <v>4.7444343055011418</v>
      </c>
      <c r="T88" s="53">
        <f t="shared" si="38"/>
        <v>4.7444343055011418</v>
      </c>
      <c r="U88" s="53">
        <f t="shared" si="39"/>
        <v>4.7444343055011418</v>
      </c>
      <c r="V88" s="53">
        <f t="shared" si="39"/>
        <v>4.7444343055011418</v>
      </c>
      <c r="W88" s="53">
        <f t="shared" si="39"/>
        <v>4.7444343055011418</v>
      </c>
      <c r="X88" s="53">
        <f t="shared" si="39"/>
        <v>4.7444343055011418</v>
      </c>
      <c r="Y88" s="53">
        <f t="shared" si="39"/>
        <v>4.7444343055011418</v>
      </c>
      <c r="Z88" s="53">
        <f t="shared" si="39"/>
        <v>4.7444343055011418</v>
      </c>
      <c r="AA88" s="53">
        <f t="shared" si="39"/>
        <v>4.7444343055011418</v>
      </c>
      <c r="AB88" s="53">
        <f t="shared" si="39"/>
        <v>4.7444343055011418</v>
      </c>
      <c r="AC88" s="53">
        <f t="shared" si="39"/>
        <v>4.7444343055011418</v>
      </c>
      <c r="AD88" s="53">
        <f t="shared" si="39"/>
        <v>4.7444343055011418</v>
      </c>
      <c r="AE88" s="53">
        <f t="shared" si="39"/>
        <v>4.7444343055011418</v>
      </c>
      <c r="AF88" s="53">
        <f t="shared" si="39"/>
        <v>4.7444343055011418</v>
      </c>
      <c r="AG88" s="326">
        <f t="shared" si="39"/>
        <v>4.7444343055011418</v>
      </c>
    </row>
    <row r="89" spans="1:33">
      <c r="A89" s="48" t="s">
        <v>275</v>
      </c>
      <c r="B89" s="52">
        <f>('Input Assumptions'!B$9/'EUI by End Use'!AE$3)*'EUI by End Use'!AL$3</f>
        <v>0.30148458315655136</v>
      </c>
      <c r="C89" s="46"/>
      <c r="D89" s="46"/>
      <c r="E89" s="46"/>
      <c r="F89" s="52">
        <f>('Input Assumptions'!$B$9/'EUI by End Use'!AE$3)*'EUI by End Use'!BA$3</f>
        <v>0.30148458315655136</v>
      </c>
      <c r="G89" s="52">
        <f t="shared" si="40"/>
        <v>0</v>
      </c>
      <c r="H89" s="46"/>
      <c r="I89" s="46"/>
      <c r="J89" s="57"/>
      <c r="K89" s="325">
        <f t="shared" si="38"/>
        <v>0.30148458315655136</v>
      </c>
      <c r="L89" s="53">
        <f t="shared" si="38"/>
        <v>0.30148458315655136</v>
      </c>
      <c r="M89" s="53">
        <f t="shared" si="38"/>
        <v>0.30148458315655136</v>
      </c>
      <c r="N89" s="53">
        <f t="shared" si="38"/>
        <v>0.30148458315655136</v>
      </c>
      <c r="O89" s="53">
        <f t="shared" si="38"/>
        <v>0.30148458315655136</v>
      </c>
      <c r="P89" s="53">
        <f t="shared" si="38"/>
        <v>0.30148458315655136</v>
      </c>
      <c r="Q89" s="53">
        <f t="shared" si="38"/>
        <v>0.30148458315655136</v>
      </c>
      <c r="R89" s="53">
        <f t="shared" si="38"/>
        <v>0.30148458315655136</v>
      </c>
      <c r="S89" s="53">
        <f t="shared" si="38"/>
        <v>0.30148458315655136</v>
      </c>
      <c r="T89" s="53">
        <f t="shared" si="38"/>
        <v>0.30148458315655136</v>
      </c>
      <c r="U89" s="53">
        <f t="shared" si="39"/>
        <v>0.30148458315655136</v>
      </c>
      <c r="V89" s="53">
        <f t="shared" si="39"/>
        <v>0.30148458315655136</v>
      </c>
      <c r="W89" s="53">
        <f t="shared" si="39"/>
        <v>0.30148458315655136</v>
      </c>
      <c r="X89" s="53">
        <f t="shared" si="39"/>
        <v>0.30148458315655136</v>
      </c>
      <c r="Y89" s="53">
        <f t="shared" si="39"/>
        <v>0.30148458315655136</v>
      </c>
      <c r="Z89" s="53">
        <f t="shared" si="39"/>
        <v>0.30148458315655136</v>
      </c>
      <c r="AA89" s="53">
        <f t="shared" si="39"/>
        <v>0.30148458315655136</v>
      </c>
      <c r="AB89" s="53">
        <f t="shared" si="39"/>
        <v>0.30148458315655136</v>
      </c>
      <c r="AC89" s="53">
        <f t="shared" si="39"/>
        <v>0.30148458315655136</v>
      </c>
      <c r="AD89" s="53">
        <f t="shared" si="39"/>
        <v>0.30148458315655136</v>
      </c>
      <c r="AE89" s="53">
        <f t="shared" si="39"/>
        <v>0.30148458315655136</v>
      </c>
      <c r="AF89" s="53">
        <f t="shared" si="39"/>
        <v>0.30148458315655136</v>
      </c>
      <c r="AG89" s="326">
        <f t="shared" si="39"/>
        <v>0.30148458315655136</v>
      </c>
    </row>
    <row r="90" spans="1:33">
      <c r="A90" s="48" t="s">
        <v>276</v>
      </c>
      <c r="B90" s="52">
        <f>('Input Assumptions'!B$9/'EUI by End Use'!AE$3)*'EUI by End Use'!AM$3</f>
        <v>0.94135512510335062</v>
      </c>
      <c r="C90" s="46"/>
      <c r="D90" s="46"/>
      <c r="E90" s="46"/>
      <c r="F90" s="52">
        <f>('Input Assumptions'!$B$9/'EUI by End Use'!AE$3)*'EUI by End Use'!BB$3</f>
        <v>0.94135512510335062</v>
      </c>
      <c r="G90" s="52">
        <f t="shared" si="40"/>
        <v>0</v>
      </c>
      <c r="H90" s="46"/>
      <c r="I90" s="46"/>
      <c r="J90" s="57"/>
      <c r="K90" s="325">
        <f t="shared" si="38"/>
        <v>0.94135512510335062</v>
      </c>
      <c r="L90" s="53">
        <f t="shared" si="38"/>
        <v>0.94135512510335062</v>
      </c>
      <c r="M90" s="53">
        <f t="shared" si="38"/>
        <v>0.94135512510335062</v>
      </c>
      <c r="N90" s="53">
        <f t="shared" si="38"/>
        <v>0.94135512510335062</v>
      </c>
      <c r="O90" s="53">
        <f t="shared" si="38"/>
        <v>0.94135512510335062</v>
      </c>
      <c r="P90" s="53">
        <f t="shared" si="38"/>
        <v>0.94135512510335062</v>
      </c>
      <c r="Q90" s="53">
        <f t="shared" si="38"/>
        <v>0.94135512510335062</v>
      </c>
      <c r="R90" s="53">
        <f t="shared" si="38"/>
        <v>0.94135512510335062</v>
      </c>
      <c r="S90" s="53">
        <f t="shared" si="38"/>
        <v>0.94135512510335062</v>
      </c>
      <c r="T90" s="53">
        <f t="shared" si="38"/>
        <v>0.94135512510335062</v>
      </c>
      <c r="U90" s="53">
        <f t="shared" si="39"/>
        <v>0.94135512510335062</v>
      </c>
      <c r="V90" s="53">
        <f t="shared" si="39"/>
        <v>0.94135512510335062</v>
      </c>
      <c r="W90" s="53">
        <f t="shared" si="39"/>
        <v>0.94135512510335062</v>
      </c>
      <c r="X90" s="53">
        <f t="shared" si="39"/>
        <v>0.94135512510335062</v>
      </c>
      <c r="Y90" s="53">
        <f t="shared" si="39"/>
        <v>0.94135512510335062</v>
      </c>
      <c r="Z90" s="53">
        <f t="shared" si="39"/>
        <v>0.94135512510335062</v>
      </c>
      <c r="AA90" s="53">
        <f t="shared" si="39"/>
        <v>0.94135512510335062</v>
      </c>
      <c r="AB90" s="53">
        <f t="shared" si="39"/>
        <v>0.94135512510335062</v>
      </c>
      <c r="AC90" s="53">
        <f t="shared" si="39"/>
        <v>0.94135512510335062</v>
      </c>
      <c r="AD90" s="53">
        <f t="shared" si="39"/>
        <v>0.94135512510335062</v>
      </c>
      <c r="AE90" s="53">
        <f t="shared" si="39"/>
        <v>0.94135512510335062</v>
      </c>
      <c r="AF90" s="53">
        <f t="shared" si="39"/>
        <v>0.94135512510335062</v>
      </c>
      <c r="AG90" s="326">
        <f t="shared" si="39"/>
        <v>0.94135512510335062</v>
      </c>
    </row>
    <row r="91" spans="1:33">
      <c r="A91" s="48" t="s">
        <v>277</v>
      </c>
      <c r="B91" s="52">
        <f>('Input Assumptions'!B$9/'EUI by End Use'!AE$3)*'EUI by End Use'!AN$3</f>
        <v>0.57899359902870939</v>
      </c>
      <c r="C91" s="46"/>
      <c r="D91" s="46"/>
      <c r="E91" s="46"/>
      <c r="F91" s="52">
        <f>('Input Assumptions'!$B$9/'EUI by End Use'!AE$3)*'EUI by End Use'!BC$3</f>
        <v>0.57899359902870939</v>
      </c>
      <c r="G91" s="52">
        <f t="shared" si="40"/>
        <v>0</v>
      </c>
      <c r="H91" s="46"/>
      <c r="I91" s="46"/>
      <c r="J91" s="57"/>
      <c r="K91" s="325">
        <f t="shared" si="38"/>
        <v>0.57899359902870939</v>
      </c>
      <c r="L91" s="53">
        <f t="shared" si="38"/>
        <v>0.57899359902870939</v>
      </c>
      <c r="M91" s="53">
        <f t="shared" si="38"/>
        <v>0.57899359902870939</v>
      </c>
      <c r="N91" s="53">
        <f t="shared" si="38"/>
        <v>0.57899359902870939</v>
      </c>
      <c r="O91" s="53">
        <f t="shared" si="38"/>
        <v>0.57899359902870939</v>
      </c>
      <c r="P91" s="53">
        <f t="shared" si="38"/>
        <v>0.57899359902870939</v>
      </c>
      <c r="Q91" s="53">
        <f t="shared" si="38"/>
        <v>0.57899359902870939</v>
      </c>
      <c r="R91" s="53">
        <f t="shared" si="38"/>
        <v>0.57899359902870939</v>
      </c>
      <c r="S91" s="53">
        <f t="shared" si="38"/>
        <v>0.57899359902870939</v>
      </c>
      <c r="T91" s="53">
        <f t="shared" si="38"/>
        <v>0.57899359902870939</v>
      </c>
      <c r="U91" s="53">
        <f t="shared" si="39"/>
        <v>0.57899359902870939</v>
      </c>
      <c r="V91" s="53">
        <f t="shared" si="39"/>
        <v>0.57899359902870939</v>
      </c>
      <c r="W91" s="53">
        <f t="shared" si="39"/>
        <v>0.57899359902870939</v>
      </c>
      <c r="X91" s="53">
        <f t="shared" si="39"/>
        <v>0.57899359902870939</v>
      </c>
      <c r="Y91" s="53">
        <f t="shared" si="39"/>
        <v>0.57899359902870939</v>
      </c>
      <c r="Z91" s="53">
        <f t="shared" si="39"/>
        <v>0.57899359902870939</v>
      </c>
      <c r="AA91" s="53">
        <f t="shared" si="39"/>
        <v>0.57899359902870939</v>
      </c>
      <c r="AB91" s="53">
        <f t="shared" si="39"/>
        <v>0.57899359902870939</v>
      </c>
      <c r="AC91" s="53">
        <f t="shared" si="39"/>
        <v>0.57899359902870939</v>
      </c>
      <c r="AD91" s="53">
        <f t="shared" si="39"/>
        <v>0.57899359902870939</v>
      </c>
      <c r="AE91" s="53">
        <f t="shared" si="39"/>
        <v>0.57899359902870939</v>
      </c>
      <c r="AF91" s="53">
        <f t="shared" si="39"/>
        <v>0.57899359902870939</v>
      </c>
      <c r="AG91" s="326">
        <f t="shared" si="39"/>
        <v>0.57899359902870939</v>
      </c>
    </row>
    <row r="92" spans="1:33">
      <c r="A92" s="48" t="s">
        <v>76</v>
      </c>
      <c r="B92" s="52">
        <f>B84-(SUM(B85:B91))</f>
        <v>4.0828601093220271</v>
      </c>
      <c r="C92" s="46"/>
      <c r="D92" s="46"/>
      <c r="E92" s="46"/>
      <c r="F92" s="52">
        <f>B92</f>
        <v>4.0828601093220271</v>
      </c>
      <c r="G92" s="52">
        <f t="shared" si="40"/>
        <v>0</v>
      </c>
      <c r="H92" s="46"/>
      <c r="I92" s="46"/>
      <c r="J92" s="57"/>
      <c r="K92" s="325">
        <f t="shared" si="38"/>
        <v>4.0828601093220271</v>
      </c>
      <c r="L92" s="53">
        <f t="shared" si="38"/>
        <v>4.0828601093220271</v>
      </c>
      <c r="M92" s="53">
        <f t="shared" si="38"/>
        <v>4.0828601093220271</v>
      </c>
      <c r="N92" s="53">
        <f t="shared" si="38"/>
        <v>4.0828601093220271</v>
      </c>
      <c r="O92" s="53">
        <f t="shared" si="38"/>
        <v>4.0828601093220271</v>
      </c>
      <c r="P92" s="53">
        <f t="shared" si="38"/>
        <v>4.0828601093220271</v>
      </c>
      <c r="Q92" s="53">
        <f t="shared" si="38"/>
        <v>4.0828601093220271</v>
      </c>
      <c r="R92" s="53">
        <f t="shared" si="38"/>
        <v>4.0828601093220271</v>
      </c>
      <c r="S92" s="53">
        <f t="shared" si="38"/>
        <v>4.0828601093220271</v>
      </c>
      <c r="T92" s="53">
        <f t="shared" si="38"/>
        <v>4.0828601093220271</v>
      </c>
      <c r="U92" s="53">
        <f t="shared" si="39"/>
        <v>4.0828601093220271</v>
      </c>
      <c r="V92" s="53">
        <f t="shared" si="39"/>
        <v>4.0828601093220271</v>
      </c>
      <c r="W92" s="53">
        <f t="shared" si="39"/>
        <v>4.0828601093220271</v>
      </c>
      <c r="X92" s="53">
        <f t="shared" si="39"/>
        <v>4.0828601093220271</v>
      </c>
      <c r="Y92" s="53">
        <f t="shared" si="39"/>
        <v>4.0828601093220271</v>
      </c>
      <c r="Z92" s="53">
        <f t="shared" si="39"/>
        <v>4.0828601093220271</v>
      </c>
      <c r="AA92" s="53">
        <f t="shared" si="39"/>
        <v>4.0828601093220271</v>
      </c>
      <c r="AB92" s="53">
        <f t="shared" si="39"/>
        <v>4.0828601093220271</v>
      </c>
      <c r="AC92" s="53">
        <f t="shared" si="39"/>
        <v>4.0828601093220271</v>
      </c>
      <c r="AD92" s="53">
        <f t="shared" si="39"/>
        <v>4.0828601093220271</v>
      </c>
      <c r="AE92" s="53">
        <f t="shared" si="39"/>
        <v>4.0828601093220271</v>
      </c>
      <c r="AF92" s="53">
        <f t="shared" si="39"/>
        <v>4.0828601093220271</v>
      </c>
      <c r="AG92" s="326">
        <f t="shared" si="39"/>
        <v>4.0828601093220271</v>
      </c>
    </row>
    <row r="93" spans="1:33">
      <c r="A93" s="48" t="s">
        <v>21</v>
      </c>
      <c r="B93" s="49">
        <f>(B82/1000)*B84</f>
        <v>62138337.807127044</v>
      </c>
      <c r="C93" s="46"/>
      <c r="D93" s="46"/>
      <c r="E93" s="46"/>
      <c r="F93" s="49">
        <f>(F82/1000)*F84</f>
        <v>57437262.611267298</v>
      </c>
      <c r="G93" s="38">
        <f t="shared" si="40"/>
        <v>4701075.1958597451</v>
      </c>
      <c r="H93" s="46"/>
      <c r="I93" s="46"/>
      <c r="J93" s="57"/>
      <c r="K93" s="182">
        <f t="shared" ref="K93:AF93" si="41">(K82/1000)*K84</f>
        <v>57437333.58154539</v>
      </c>
      <c r="L93" s="49">
        <f t="shared" si="41"/>
        <v>60879319.263162121</v>
      </c>
      <c r="M93" s="49">
        <f t="shared" si="41"/>
        <v>61901546.510700352</v>
      </c>
      <c r="N93" s="49">
        <f t="shared" ca="1" si="41"/>
        <v>62882659.501602106</v>
      </c>
      <c r="O93" s="49">
        <f t="shared" ca="1" si="41"/>
        <v>63761384.269994743</v>
      </c>
      <c r="P93" s="49">
        <f t="shared" ca="1" si="41"/>
        <v>64624324.679351442</v>
      </c>
      <c r="Q93" s="49">
        <f t="shared" ca="1" si="41"/>
        <v>65443885.239835456</v>
      </c>
      <c r="R93" s="49">
        <f t="shared" ca="1" si="41"/>
        <v>66267701.104696475</v>
      </c>
      <c r="S93" s="49">
        <f t="shared" ca="1" si="41"/>
        <v>67117810.07705915</v>
      </c>
      <c r="T93" s="49">
        <f t="shared" ca="1" si="41"/>
        <v>68079840.395506531</v>
      </c>
      <c r="U93" s="49">
        <f t="shared" ca="1" si="41"/>
        <v>69122083.541022003</v>
      </c>
      <c r="V93" s="49">
        <f t="shared" ca="1" si="41"/>
        <v>70222834.16132468</v>
      </c>
      <c r="W93" s="49">
        <f t="shared" ca="1" si="41"/>
        <v>71377607.800343961</v>
      </c>
      <c r="X93" s="49">
        <f t="shared" ca="1" si="41"/>
        <v>72608239.321379587</v>
      </c>
      <c r="Y93" s="49">
        <f t="shared" ca="1" si="41"/>
        <v>73789311.087664694</v>
      </c>
      <c r="Z93" s="49">
        <f t="shared" ca="1" si="41"/>
        <v>74968851.460583955</v>
      </c>
      <c r="AA93" s="49">
        <f t="shared" ca="1" si="41"/>
        <v>76131107.382249579</v>
      </c>
      <c r="AB93" s="49">
        <f t="shared" ca="1" si="41"/>
        <v>77444159.095202237</v>
      </c>
      <c r="AC93" s="49">
        <f t="shared" ca="1" si="41"/>
        <v>78516937.815688744</v>
      </c>
      <c r="AD93" s="49">
        <f t="shared" ca="1" si="41"/>
        <v>79678596.80361563</v>
      </c>
      <c r="AE93" s="49">
        <f t="shared" ca="1" si="41"/>
        <v>80980553.634134263</v>
      </c>
      <c r="AF93" s="49">
        <f t="shared" ca="1" si="41"/>
        <v>82116696.154092133</v>
      </c>
      <c r="AG93" s="183">
        <f t="shared" ref="AG93" ca="1" si="42">(AG82/1000)*AG84</f>
        <v>83373603.078515023</v>
      </c>
    </row>
    <row r="94" spans="1:33" ht="13.5" thickBot="1">
      <c r="A94" s="48" t="s">
        <v>22</v>
      </c>
      <c r="B94" s="54">
        <f>B93/8760000</f>
        <v>7.0934175578912146</v>
      </c>
      <c r="C94" s="46"/>
      <c r="D94" s="46"/>
      <c r="E94" s="46"/>
      <c r="F94" s="54">
        <f>F93/8760000</f>
        <v>6.5567651382725227</v>
      </c>
      <c r="G94" s="55">
        <f t="shared" si="40"/>
        <v>0.53665241961869192</v>
      </c>
      <c r="H94" s="46"/>
      <c r="I94" s="46"/>
      <c r="J94" s="57"/>
      <c r="K94" s="329">
        <f t="shared" ref="K94:AF94" si="43">K93/8760000</f>
        <v>6.5567732399024417</v>
      </c>
      <c r="L94" s="56">
        <f t="shared" si="43"/>
        <v>6.9496939798130279</v>
      </c>
      <c r="M94" s="56">
        <f t="shared" si="43"/>
        <v>7.0663865879794923</v>
      </c>
      <c r="N94" s="56">
        <f t="shared" ca="1" si="43"/>
        <v>7.178385787854122</v>
      </c>
      <c r="O94" s="56">
        <f t="shared" ca="1" si="43"/>
        <v>7.2786968344742862</v>
      </c>
      <c r="P94" s="56">
        <f t="shared" ca="1" si="43"/>
        <v>7.377206013624594</v>
      </c>
      <c r="Q94" s="56">
        <f t="shared" ca="1" si="43"/>
        <v>7.4707631552323583</v>
      </c>
      <c r="R94" s="56">
        <f t="shared" ca="1" si="43"/>
        <v>7.5648060621799633</v>
      </c>
      <c r="S94" s="56">
        <f t="shared" ca="1" si="43"/>
        <v>7.6618504654177109</v>
      </c>
      <c r="T94" s="56">
        <f t="shared" ca="1" si="43"/>
        <v>7.7716712780258597</v>
      </c>
      <c r="U94" s="56">
        <f t="shared" ca="1" si="43"/>
        <v>7.8906488060527398</v>
      </c>
      <c r="V94" s="56">
        <f t="shared" ca="1" si="43"/>
        <v>8.0163052695576127</v>
      </c>
      <c r="W94" s="56">
        <f t="shared" ca="1" si="43"/>
        <v>8.1481287443315029</v>
      </c>
      <c r="X94" s="56">
        <f t="shared" ca="1" si="43"/>
        <v>8.2886117946780349</v>
      </c>
      <c r="Y94" s="56">
        <f t="shared" ca="1" si="43"/>
        <v>8.4234373387745087</v>
      </c>
      <c r="Z94" s="56">
        <f t="shared" ca="1" si="43"/>
        <v>8.5580880662767065</v>
      </c>
      <c r="AA94" s="56">
        <f t="shared" ca="1" si="43"/>
        <v>8.6907656829052033</v>
      </c>
      <c r="AB94" s="56">
        <f t="shared" ca="1" si="43"/>
        <v>8.8406574309591601</v>
      </c>
      <c r="AC94" s="56">
        <f t="shared" ca="1" si="43"/>
        <v>8.9631207552156109</v>
      </c>
      <c r="AD94" s="56">
        <f t="shared" ca="1" si="43"/>
        <v>9.0957302287232462</v>
      </c>
      <c r="AE94" s="56">
        <f t="shared" ca="1" si="43"/>
        <v>9.2443554376865595</v>
      </c>
      <c r="AF94" s="56">
        <f t="shared" ca="1" si="43"/>
        <v>9.3740520723849468</v>
      </c>
      <c r="AG94" s="330">
        <f t="shared" ref="AG94" ca="1" si="44">AG93/8760000</f>
        <v>9.5175345980039978</v>
      </c>
    </row>
    <row r="95" spans="1:33" ht="13.5" thickBot="1">
      <c r="A95" s="667" t="s">
        <v>23</v>
      </c>
      <c r="B95" s="668"/>
      <c r="C95" s="668"/>
      <c r="D95" s="668"/>
      <c r="E95" s="668"/>
      <c r="F95" s="668"/>
      <c r="G95" s="668"/>
      <c r="H95" s="668"/>
      <c r="I95" s="668"/>
      <c r="J95" s="669"/>
      <c r="K95" s="343">
        <v>2013</v>
      </c>
      <c r="L95" s="344">
        <v>2014</v>
      </c>
      <c r="M95" s="344">
        <v>2015</v>
      </c>
      <c r="N95" s="344">
        <v>2016</v>
      </c>
      <c r="O95" s="344">
        <v>2017</v>
      </c>
      <c r="P95" s="344">
        <v>2018</v>
      </c>
      <c r="Q95" s="344">
        <v>2019</v>
      </c>
      <c r="R95" s="344">
        <v>2020</v>
      </c>
      <c r="S95" s="344">
        <v>2021</v>
      </c>
      <c r="T95" s="344">
        <v>2022</v>
      </c>
      <c r="U95" s="344">
        <v>2023</v>
      </c>
      <c r="V95" s="344">
        <v>2024</v>
      </c>
      <c r="W95" s="344">
        <v>2025</v>
      </c>
      <c r="X95" s="344">
        <v>2026</v>
      </c>
      <c r="Y95" s="344">
        <v>2027</v>
      </c>
      <c r="Z95" s="344">
        <v>2028</v>
      </c>
      <c r="AA95" s="344">
        <v>2029</v>
      </c>
      <c r="AB95" s="344">
        <v>2030</v>
      </c>
      <c r="AC95" s="344">
        <v>2031</v>
      </c>
      <c r="AD95" s="344">
        <v>2032</v>
      </c>
      <c r="AE95" s="344">
        <v>2033</v>
      </c>
      <c r="AF95" s="344">
        <v>2034</v>
      </c>
      <c r="AG95" s="344">
        <v>2035</v>
      </c>
    </row>
    <row r="96" spans="1:33">
      <c r="A96" s="44" t="s">
        <v>9</v>
      </c>
      <c r="B96" s="45">
        <f>C79*B77</f>
        <v>4305</v>
      </c>
      <c r="C96" s="46"/>
      <c r="D96" s="46"/>
      <c r="E96" s="46"/>
      <c r="F96" s="45">
        <f>B96</f>
        <v>4305</v>
      </c>
      <c r="G96" s="46"/>
      <c r="H96" s="46"/>
      <c r="I96" s="46"/>
      <c r="J96" s="46"/>
      <c r="K96" s="182">
        <f t="shared" ref="K96:T109" si="45">$F96</f>
        <v>4305</v>
      </c>
      <c r="L96" s="49">
        <f t="shared" si="45"/>
        <v>4305</v>
      </c>
      <c r="M96" s="49">
        <f t="shared" si="45"/>
        <v>4305</v>
      </c>
      <c r="N96" s="49">
        <f t="shared" si="45"/>
        <v>4305</v>
      </c>
      <c r="O96" s="49">
        <f t="shared" si="45"/>
        <v>4305</v>
      </c>
      <c r="P96" s="49">
        <f t="shared" si="45"/>
        <v>4305</v>
      </c>
      <c r="Q96" s="49">
        <f t="shared" si="45"/>
        <v>4305</v>
      </c>
      <c r="R96" s="49">
        <f t="shared" si="45"/>
        <v>4305</v>
      </c>
      <c r="S96" s="49">
        <f t="shared" si="45"/>
        <v>4305</v>
      </c>
      <c r="T96" s="49">
        <f t="shared" si="45"/>
        <v>4305</v>
      </c>
      <c r="U96" s="49">
        <f t="shared" ref="U96:AG109" si="46">$F96</f>
        <v>4305</v>
      </c>
      <c r="V96" s="49">
        <f t="shared" si="46"/>
        <v>4305</v>
      </c>
      <c r="W96" s="49">
        <f t="shared" si="46"/>
        <v>4305</v>
      </c>
      <c r="X96" s="49">
        <f t="shared" si="46"/>
        <v>4305</v>
      </c>
      <c r="Y96" s="49">
        <f t="shared" si="46"/>
        <v>4305</v>
      </c>
      <c r="Z96" s="49">
        <f t="shared" si="46"/>
        <v>4305</v>
      </c>
      <c r="AA96" s="49">
        <f t="shared" si="46"/>
        <v>4305</v>
      </c>
      <c r="AB96" s="49">
        <f t="shared" si="46"/>
        <v>4305</v>
      </c>
      <c r="AC96" s="49">
        <f t="shared" si="46"/>
        <v>4305</v>
      </c>
      <c r="AD96" s="49">
        <f t="shared" si="46"/>
        <v>4305</v>
      </c>
      <c r="AE96" s="49">
        <f t="shared" si="46"/>
        <v>4305</v>
      </c>
      <c r="AF96" s="49">
        <f t="shared" si="46"/>
        <v>4305</v>
      </c>
      <c r="AG96" s="183">
        <f t="shared" si="46"/>
        <v>4305</v>
      </c>
    </row>
    <row r="97" spans="1:33">
      <c r="A97" s="48" t="s">
        <v>3</v>
      </c>
      <c r="B97" s="49">
        <f>D77*C79</f>
        <v>86054029.15709208</v>
      </c>
      <c r="C97" s="46"/>
      <c r="D97" s="46"/>
      <c r="E97" s="46"/>
      <c r="F97" s="49">
        <f>B97</f>
        <v>86054029.15709208</v>
      </c>
      <c r="G97" s="46"/>
      <c r="H97" s="46"/>
      <c r="I97" s="46"/>
      <c r="J97" s="57"/>
      <c r="K97" s="182">
        <f t="shared" si="45"/>
        <v>86054029.15709208</v>
      </c>
      <c r="L97" s="49">
        <f t="shared" si="45"/>
        <v>86054029.15709208</v>
      </c>
      <c r="M97" s="49">
        <f t="shared" si="45"/>
        <v>86054029.15709208</v>
      </c>
      <c r="N97" s="49">
        <f t="shared" si="45"/>
        <v>86054029.15709208</v>
      </c>
      <c r="O97" s="49">
        <f t="shared" si="45"/>
        <v>86054029.15709208</v>
      </c>
      <c r="P97" s="49">
        <f t="shared" si="45"/>
        <v>86054029.15709208</v>
      </c>
      <c r="Q97" s="49">
        <f t="shared" si="45"/>
        <v>86054029.15709208</v>
      </c>
      <c r="R97" s="49">
        <f t="shared" si="45"/>
        <v>86054029.15709208</v>
      </c>
      <c r="S97" s="49">
        <f t="shared" si="45"/>
        <v>86054029.15709208</v>
      </c>
      <c r="T97" s="49">
        <f t="shared" si="45"/>
        <v>86054029.15709208</v>
      </c>
      <c r="U97" s="49">
        <f t="shared" si="46"/>
        <v>86054029.15709208</v>
      </c>
      <c r="V97" s="49">
        <f t="shared" si="46"/>
        <v>86054029.15709208</v>
      </c>
      <c r="W97" s="49">
        <f t="shared" si="46"/>
        <v>86054029.15709208</v>
      </c>
      <c r="X97" s="49">
        <f t="shared" si="46"/>
        <v>86054029.15709208</v>
      </c>
      <c r="Y97" s="49">
        <f t="shared" si="46"/>
        <v>86054029.15709208</v>
      </c>
      <c r="Z97" s="49">
        <f t="shared" si="46"/>
        <v>86054029.15709208</v>
      </c>
      <c r="AA97" s="49">
        <f t="shared" si="46"/>
        <v>86054029.15709208</v>
      </c>
      <c r="AB97" s="49">
        <f t="shared" si="46"/>
        <v>86054029.15709208</v>
      </c>
      <c r="AC97" s="49">
        <f t="shared" si="46"/>
        <v>86054029.15709208</v>
      </c>
      <c r="AD97" s="49">
        <f t="shared" si="46"/>
        <v>86054029.15709208</v>
      </c>
      <c r="AE97" s="49">
        <f t="shared" si="46"/>
        <v>86054029.15709208</v>
      </c>
      <c r="AF97" s="49">
        <f t="shared" si="46"/>
        <v>86054029.15709208</v>
      </c>
      <c r="AG97" s="183">
        <f t="shared" si="46"/>
        <v>86054029.15709208</v>
      </c>
    </row>
    <row r="98" spans="1:33">
      <c r="A98" s="48" t="s">
        <v>12</v>
      </c>
      <c r="B98" s="49">
        <f>C77</f>
        <v>20439</v>
      </c>
      <c r="C98" s="46"/>
      <c r="D98" s="46"/>
      <c r="E98" s="46"/>
      <c r="F98" s="49">
        <f>B98</f>
        <v>20439</v>
      </c>
      <c r="G98" s="46"/>
      <c r="H98" s="46"/>
      <c r="I98" s="46"/>
      <c r="J98" s="57"/>
      <c r="K98" s="182">
        <f t="shared" si="45"/>
        <v>20439</v>
      </c>
      <c r="L98" s="49">
        <f t="shared" si="45"/>
        <v>20439</v>
      </c>
      <c r="M98" s="49">
        <f t="shared" si="45"/>
        <v>20439</v>
      </c>
      <c r="N98" s="49">
        <f t="shared" si="45"/>
        <v>20439</v>
      </c>
      <c r="O98" s="49">
        <f t="shared" si="45"/>
        <v>20439</v>
      </c>
      <c r="P98" s="49">
        <f t="shared" si="45"/>
        <v>20439</v>
      </c>
      <c r="Q98" s="49">
        <f t="shared" si="45"/>
        <v>20439</v>
      </c>
      <c r="R98" s="49">
        <f t="shared" si="45"/>
        <v>20439</v>
      </c>
      <c r="S98" s="49">
        <f t="shared" si="45"/>
        <v>20439</v>
      </c>
      <c r="T98" s="49">
        <f t="shared" si="45"/>
        <v>20439</v>
      </c>
      <c r="U98" s="49">
        <f t="shared" si="46"/>
        <v>20439</v>
      </c>
      <c r="V98" s="49">
        <f t="shared" si="46"/>
        <v>20439</v>
      </c>
      <c r="W98" s="49">
        <f t="shared" si="46"/>
        <v>20439</v>
      </c>
      <c r="X98" s="49">
        <f t="shared" si="46"/>
        <v>20439</v>
      </c>
      <c r="Y98" s="49">
        <f t="shared" si="46"/>
        <v>20439</v>
      </c>
      <c r="Z98" s="49">
        <f t="shared" si="46"/>
        <v>20439</v>
      </c>
      <c r="AA98" s="49">
        <f t="shared" si="46"/>
        <v>20439</v>
      </c>
      <c r="AB98" s="49">
        <f t="shared" si="46"/>
        <v>20439</v>
      </c>
      <c r="AC98" s="49">
        <f t="shared" si="46"/>
        <v>20439</v>
      </c>
      <c r="AD98" s="49">
        <f t="shared" si="46"/>
        <v>20439</v>
      </c>
      <c r="AE98" s="49">
        <f t="shared" si="46"/>
        <v>20439</v>
      </c>
      <c r="AF98" s="49">
        <f t="shared" si="46"/>
        <v>20439</v>
      </c>
      <c r="AG98" s="183">
        <f t="shared" si="46"/>
        <v>20439</v>
      </c>
    </row>
    <row r="99" spans="1:33" ht="13.5" thickBot="1">
      <c r="A99" s="48" t="s">
        <v>278</v>
      </c>
      <c r="B99" s="52">
        <f>('Input Assumptions'!B$24/'EUI by End Use'!AE$4)*'EUI by End Use'!AG$4</f>
        <v>51.879078573836971</v>
      </c>
      <c r="C99" s="46"/>
      <c r="D99" s="46"/>
      <c r="E99" s="46"/>
      <c r="F99" s="52">
        <f>SUM(F100:F107)</f>
        <v>42.706424855778785</v>
      </c>
      <c r="G99" s="52">
        <f t="shared" ref="G99:G109" si="47">B99-F99</f>
        <v>9.1726537180581857</v>
      </c>
      <c r="H99" s="51"/>
      <c r="I99" s="51"/>
      <c r="J99" s="58"/>
      <c r="K99" s="331">
        <f t="shared" si="45"/>
        <v>42.706424855778785</v>
      </c>
      <c r="L99" s="52">
        <f t="shared" si="45"/>
        <v>42.706424855778785</v>
      </c>
      <c r="M99" s="52">
        <f t="shared" si="45"/>
        <v>42.706424855778785</v>
      </c>
      <c r="N99" s="52">
        <f t="shared" si="45"/>
        <v>42.706424855778785</v>
      </c>
      <c r="O99" s="52">
        <f t="shared" si="45"/>
        <v>42.706424855778785</v>
      </c>
      <c r="P99" s="52">
        <f t="shared" si="45"/>
        <v>42.706424855778785</v>
      </c>
      <c r="Q99" s="52">
        <f t="shared" si="45"/>
        <v>42.706424855778785</v>
      </c>
      <c r="R99" s="52">
        <f t="shared" si="45"/>
        <v>42.706424855778785</v>
      </c>
      <c r="S99" s="52">
        <f t="shared" si="45"/>
        <v>42.706424855778785</v>
      </c>
      <c r="T99" s="52">
        <f t="shared" si="45"/>
        <v>42.706424855778785</v>
      </c>
      <c r="U99" s="52">
        <f t="shared" si="46"/>
        <v>42.706424855778785</v>
      </c>
      <c r="V99" s="52">
        <f t="shared" si="46"/>
        <v>42.706424855778785</v>
      </c>
      <c r="W99" s="52">
        <f t="shared" si="46"/>
        <v>42.706424855778785</v>
      </c>
      <c r="X99" s="52">
        <f t="shared" si="46"/>
        <v>42.706424855778785</v>
      </c>
      <c r="Y99" s="52">
        <f t="shared" si="46"/>
        <v>42.706424855778785</v>
      </c>
      <c r="Z99" s="52">
        <f t="shared" si="46"/>
        <v>42.706424855778785</v>
      </c>
      <c r="AA99" s="52">
        <f t="shared" si="46"/>
        <v>42.706424855778785</v>
      </c>
      <c r="AB99" s="52">
        <f t="shared" si="46"/>
        <v>42.706424855778785</v>
      </c>
      <c r="AC99" s="52">
        <f t="shared" si="46"/>
        <v>42.706424855778785</v>
      </c>
      <c r="AD99" s="52">
        <f t="shared" si="46"/>
        <v>42.706424855778785</v>
      </c>
      <c r="AE99" s="52">
        <f t="shared" si="46"/>
        <v>42.706424855778785</v>
      </c>
      <c r="AF99" s="52">
        <f t="shared" si="46"/>
        <v>42.706424855778785</v>
      </c>
      <c r="AG99" s="332">
        <f t="shared" si="46"/>
        <v>42.706424855778785</v>
      </c>
    </row>
    <row r="100" spans="1:33">
      <c r="A100" s="396" t="s">
        <v>271</v>
      </c>
      <c r="B100" s="397">
        <f>('Input Assumptions'!B$24/'EUI by End Use'!AE$4)*'EUI by End Use'!AH$4</f>
        <v>7.8361609779351626</v>
      </c>
      <c r="C100" s="238"/>
      <c r="D100" s="238"/>
      <c r="E100" s="238"/>
      <c r="F100" s="397">
        <f>('Input Assumptions'!$B$24/'EUI by End Use'!AE$4)*'EUI by End Use'!AW$4</f>
        <v>3.0793174969152783</v>
      </c>
      <c r="G100" s="398">
        <f t="shared" si="47"/>
        <v>4.7568434810198843</v>
      </c>
      <c r="H100" s="311"/>
      <c r="I100" s="311"/>
      <c r="J100" s="57"/>
      <c r="K100" s="327">
        <f t="shared" si="45"/>
        <v>3.0793174969152783</v>
      </c>
      <c r="L100" s="320">
        <f t="shared" si="45"/>
        <v>3.0793174969152783</v>
      </c>
      <c r="M100" s="320">
        <f t="shared" si="45"/>
        <v>3.0793174969152783</v>
      </c>
      <c r="N100" s="320">
        <f t="shared" si="45"/>
        <v>3.0793174969152783</v>
      </c>
      <c r="O100" s="320">
        <f t="shared" si="45"/>
        <v>3.0793174969152783</v>
      </c>
      <c r="P100" s="320">
        <f t="shared" si="45"/>
        <v>3.0793174969152783</v>
      </c>
      <c r="Q100" s="320">
        <f t="shared" si="45"/>
        <v>3.0793174969152783</v>
      </c>
      <c r="R100" s="320">
        <f t="shared" si="45"/>
        <v>3.0793174969152783</v>
      </c>
      <c r="S100" s="320">
        <f t="shared" si="45"/>
        <v>3.0793174969152783</v>
      </c>
      <c r="T100" s="320">
        <f t="shared" si="45"/>
        <v>3.0793174969152783</v>
      </c>
      <c r="U100" s="320">
        <f t="shared" si="46"/>
        <v>3.0793174969152783</v>
      </c>
      <c r="V100" s="320">
        <f t="shared" si="46"/>
        <v>3.0793174969152783</v>
      </c>
      <c r="W100" s="320">
        <f t="shared" si="46"/>
        <v>3.0793174969152783</v>
      </c>
      <c r="X100" s="320">
        <f t="shared" si="46"/>
        <v>3.0793174969152783</v>
      </c>
      <c r="Y100" s="320">
        <f t="shared" si="46"/>
        <v>3.0793174969152783</v>
      </c>
      <c r="Z100" s="320">
        <f t="shared" si="46"/>
        <v>3.0793174969152783</v>
      </c>
      <c r="AA100" s="320">
        <f t="shared" si="46"/>
        <v>3.0793174969152783</v>
      </c>
      <c r="AB100" s="320">
        <f t="shared" si="46"/>
        <v>3.0793174969152783</v>
      </c>
      <c r="AC100" s="320">
        <f t="shared" si="46"/>
        <v>3.0793174969152783</v>
      </c>
      <c r="AD100" s="320">
        <f t="shared" si="46"/>
        <v>3.0793174969152783</v>
      </c>
      <c r="AE100" s="320">
        <f t="shared" si="46"/>
        <v>3.0793174969152783</v>
      </c>
      <c r="AF100" s="320">
        <f t="shared" si="46"/>
        <v>3.0793174969152783</v>
      </c>
      <c r="AG100" s="328">
        <f t="shared" si="46"/>
        <v>3.0793174969152783</v>
      </c>
    </row>
    <row r="101" spans="1:33">
      <c r="A101" s="48" t="s">
        <v>272</v>
      </c>
      <c r="B101" s="52">
        <f>('Input Assumptions'!B$24/'EUI by End Use'!AE$4)*'EUI by End Use'!AI$4</f>
        <v>10.108363039033851</v>
      </c>
      <c r="C101" s="46"/>
      <c r="D101" s="46"/>
      <c r="E101" s="46"/>
      <c r="F101" s="52">
        <f>('Input Assumptions'!$B$24/'EUI by End Use'!AE$4)*'EUI by End Use'!AX$4</f>
        <v>7.6268041732914567</v>
      </c>
      <c r="G101" s="332">
        <f t="shared" si="47"/>
        <v>2.4815588657423939</v>
      </c>
      <c r="H101" s="311"/>
      <c r="I101" s="311"/>
      <c r="J101" s="57"/>
      <c r="K101" s="327">
        <f t="shared" si="45"/>
        <v>7.6268041732914567</v>
      </c>
      <c r="L101" s="320">
        <f t="shared" si="45"/>
        <v>7.6268041732914567</v>
      </c>
      <c r="M101" s="320">
        <f t="shared" si="45"/>
        <v>7.6268041732914567</v>
      </c>
      <c r="N101" s="320">
        <f t="shared" si="45"/>
        <v>7.6268041732914567</v>
      </c>
      <c r="O101" s="320">
        <f t="shared" si="45"/>
        <v>7.6268041732914567</v>
      </c>
      <c r="P101" s="320">
        <f t="shared" si="45"/>
        <v>7.6268041732914567</v>
      </c>
      <c r="Q101" s="320">
        <f t="shared" si="45"/>
        <v>7.6268041732914567</v>
      </c>
      <c r="R101" s="320">
        <f t="shared" si="45"/>
        <v>7.6268041732914567</v>
      </c>
      <c r="S101" s="320">
        <f t="shared" si="45"/>
        <v>7.6268041732914567</v>
      </c>
      <c r="T101" s="320">
        <f t="shared" si="45"/>
        <v>7.6268041732914567</v>
      </c>
      <c r="U101" s="320">
        <f t="shared" si="46"/>
        <v>7.6268041732914567</v>
      </c>
      <c r="V101" s="320">
        <f t="shared" si="46"/>
        <v>7.6268041732914567</v>
      </c>
      <c r="W101" s="320">
        <f t="shared" si="46"/>
        <v>7.6268041732914567</v>
      </c>
      <c r="X101" s="320">
        <f t="shared" si="46"/>
        <v>7.6268041732914567</v>
      </c>
      <c r="Y101" s="320">
        <f t="shared" si="46"/>
        <v>7.6268041732914567</v>
      </c>
      <c r="Z101" s="320">
        <f t="shared" si="46"/>
        <v>7.6268041732914567</v>
      </c>
      <c r="AA101" s="320">
        <f t="shared" si="46"/>
        <v>7.6268041732914567</v>
      </c>
      <c r="AB101" s="320">
        <f t="shared" si="46"/>
        <v>7.6268041732914567</v>
      </c>
      <c r="AC101" s="320">
        <f t="shared" si="46"/>
        <v>7.6268041732914567</v>
      </c>
      <c r="AD101" s="320">
        <f t="shared" si="46"/>
        <v>7.6268041732914567</v>
      </c>
      <c r="AE101" s="320">
        <f t="shared" si="46"/>
        <v>7.6268041732914567</v>
      </c>
      <c r="AF101" s="320">
        <f t="shared" si="46"/>
        <v>7.6268041732914567</v>
      </c>
      <c r="AG101" s="328">
        <f t="shared" si="46"/>
        <v>7.6268041732914567</v>
      </c>
    </row>
    <row r="102" spans="1:33" ht="13.5" thickBot="1">
      <c r="A102" s="399" t="s">
        <v>273</v>
      </c>
      <c r="B102" s="400">
        <f>('Input Assumptions'!B$24/'EUI by End Use'!AE$4)*'EUI by End Use'!AJ$4</f>
        <v>7.2293088119348079</v>
      </c>
      <c r="C102" s="64"/>
      <c r="D102" s="64"/>
      <c r="E102" s="64"/>
      <c r="F102" s="400">
        <f>('Input Assumptions'!$B$24/'EUI by End Use'!AE$4)*'EUI by End Use'!AY$4</f>
        <v>5.2950574406388915</v>
      </c>
      <c r="G102" s="401">
        <f t="shared" si="47"/>
        <v>1.9342513712959164</v>
      </c>
      <c r="H102" s="311"/>
      <c r="I102" s="311"/>
      <c r="J102" s="57"/>
      <c r="K102" s="327">
        <f t="shared" si="45"/>
        <v>5.2950574406388915</v>
      </c>
      <c r="L102" s="320">
        <f t="shared" si="45"/>
        <v>5.2950574406388915</v>
      </c>
      <c r="M102" s="320">
        <f t="shared" si="45"/>
        <v>5.2950574406388915</v>
      </c>
      <c r="N102" s="320">
        <f t="shared" si="45"/>
        <v>5.2950574406388915</v>
      </c>
      <c r="O102" s="320">
        <f t="shared" si="45"/>
        <v>5.2950574406388915</v>
      </c>
      <c r="P102" s="320">
        <f t="shared" si="45"/>
        <v>5.2950574406388915</v>
      </c>
      <c r="Q102" s="320">
        <f t="shared" si="45"/>
        <v>5.2950574406388915</v>
      </c>
      <c r="R102" s="320">
        <f t="shared" si="45"/>
        <v>5.2950574406388915</v>
      </c>
      <c r="S102" s="320">
        <f t="shared" si="45"/>
        <v>5.2950574406388915</v>
      </c>
      <c r="T102" s="320">
        <f t="shared" si="45"/>
        <v>5.2950574406388915</v>
      </c>
      <c r="U102" s="320">
        <f t="shared" si="46"/>
        <v>5.2950574406388915</v>
      </c>
      <c r="V102" s="320">
        <f t="shared" si="46"/>
        <v>5.2950574406388915</v>
      </c>
      <c r="W102" s="320">
        <f t="shared" si="46"/>
        <v>5.2950574406388915</v>
      </c>
      <c r="X102" s="320">
        <f t="shared" si="46"/>
        <v>5.2950574406388915</v>
      </c>
      <c r="Y102" s="320">
        <f t="shared" si="46"/>
        <v>5.2950574406388915</v>
      </c>
      <c r="Z102" s="320">
        <f t="shared" si="46"/>
        <v>5.2950574406388915</v>
      </c>
      <c r="AA102" s="320">
        <f t="shared" si="46"/>
        <v>5.2950574406388915</v>
      </c>
      <c r="AB102" s="320">
        <f t="shared" si="46"/>
        <v>5.2950574406388915</v>
      </c>
      <c r="AC102" s="320">
        <f t="shared" si="46"/>
        <v>5.2950574406388915</v>
      </c>
      <c r="AD102" s="320">
        <f t="shared" si="46"/>
        <v>5.2950574406388915</v>
      </c>
      <c r="AE102" s="320">
        <f t="shared" si="46"/>
        <v>5.2950574406388915</v>
      </c>
      <c r="AF102" s="320">
        <f t="shared" si="46"/>
        <v>5.2950574406388915</v>
      </c>
      <c r="AG102" s="328">
        <f t="shared" si="46"/>
        <v>5.2950574406388915</v>
      </c>
    </row>
    <row r="103" spans="1:33">
      <c r="A103" s="48" t="s">
        <v>274</v>
      </c>
      <c r="B103" s="52">
        <f>('Input Assumptions'!B$24/'EUI by End Use'!AE$4)*'EUI by End Use'!AK$4</f>
        <v>9.1294979595549499</v>
      </c>
      <c r="C103" s="46"/>
      <c r="D103" s="46"/>
      <c r="E103" s="46"/>
      <c r="F103" s="52">
        <f>('Input Assumptions'!$B$24/'EUI by End Use'!AE$4)*'EUI by End Use'!AZ$4</f>
        <v>9.1294979595549499</v>
      </c>
      <c r="G103" s="52">
        <f t="shared" si="47"/>
        <v>0</v>
      </c>
      <c r="H103" s="46"/>
      <c r="I103" s="46"/>
      <c r="J103" s="57"/>
      <c r="K103" s="331">
        <f t="shared" si="45"/>
        <v>9.1294979595549499</v>
      </c>
      <c r="L103" s="52">
        <f t="shared" si="45"/>
        <v>9.1294979595549499</v>
      </c>
      <c r="M103" s="52">
        <f t="shared" si="45"/>
        <v>9.1294979595549499</v>
      </c>
      <c r="N103" s="52">
        <f t="shared" si="45"/>
        <v>9.1294979595549499</v>
      </c>
      <c r="O103" s="52">
        <f t="shared" si="45"/>
        <v>9.1294979595549499</v>
      </c>
      <c r="P103" s="52">
        <f t="shared" si="45"/>
        <v>9.1294979595549499</v>
      </c>
      <c r="Q103" s="52">
        <f t="shared" si="45"/>
        <v>9.1294979595549499</v>
      </c>
      <c r="R103" s="52">
        <f t="shared" si="45"/>
        <v>9.1294979595549499</v>
      </c>
      <c r="S103" s="52">
        <f t="shared" si="45"/>
        <v>9.1294979595549499</v>
      </c>
      <c r="T103" s="52">
        <f t="shared" si="45"/>
        <v>9.1294979595549499</v>
      </c>
      <c r="U103" s="52">
        <f t="shared" si="46"/>
        <v>9.1294979595549499</v>
      </c>
      <c r="V103" s="52">
        <f t="shared" si="46"/>
        <v>9.1294979595549499</v>
      </c>
      <c r="W103" s="52">
        <f t="shared" si="46"/>
        <v>9.1294979595549499</v>
      </c>
      <c r="X103" s="52">
        <f t="shared" si="46"/>
        <v>9.1294979595549499</v>
      </c>
      <c r="Y103" s="52">
        <f t="shared" si="46"/>
        <v>9.1294979595549499</v>
      </c>
      <c r="Z103" s="52">
        <f t="shared" si="46"/>
        <v>9.1294979595549499</v>
      </c>
      <c r="AA103" s="52">
        <f t="shared" si="46"/>
        <v>9.1294979595549499</v>
      </c>
      <c r="AB103" s="52">
        <f t="shared" si="46"/>
        <v>9.1294979595549499</v>
      </c>
      <c r="AC103" s="52">
        <f t="shared" si="46"/>
        <v>9.1294979595549499</v>
      </c>
      <c r="AD103" s="52">
        <f t="shared" si="46"/>
        <v>9.1294979595549499</v>
      </c>
      <c r="AE103" s="52">
        <f t="shared" si="46"/>
        <v>9.1294979595549499</v>
      </c>
      <c r="AF103" s="52">
        <f t="shared" si="46"/>
        <v>9.1294979595549499</v>
      </c>
      <c r="AG103" s="332">
        <f t="shared" si="46"/>
        <v>9.1294979595549499</v>
      </c>
    </row>
    <row r="104" spans="1:33">
      <c r="A104" s="48" t="s">
        <v>275</v>
      </c>
      <c r="B104" s="52">
        <f>('Input Assumptions'!B$24/'EUI by End Use'!AE$4)*'EUI by End Use'!AL$4</f>
        <v>3.1395814311108778</v>
      </c>
      <c r="C104" s="46"/>
      <c r="D104" s="46"/>
      <c r="E104" s="46"/>
      <c r="F104" s="52">
        <f>('Input Assumptions'!$B$24/'EUI by End Use'!AE$4)*'EUI by End Use'!BA$4</f>
        <v>3.1395814311108778</v>
      </c>
      <c r="G104" s="52">
        <f t="shared" si="47"/>
        <v>0</v>
      </c>
      <c r="H104" s="46"/>
      <c r="I104" s="46"/>
      <c r="J104" s="57"/>
      <c r="K104" s="331">
        <f t="shared" si="45"/>
        <v>3.1395814311108778</v>
      </c>
      <c r="L104" s="52">
        <f t="shared" si="45"/>
        <v>3.1395814311108778</v>
      </c>
      <c r="M104" s="52">
        <f t="shared" si="45"/>
        <v>3.1395814311108778</v>
      </c>
      <c r="N104" s="52">
        <f t="shared" si="45"/>
        <v>3.1395814311108778</v>
      </c>
      <c r="O104" s="52">
        <f t="shared" si="45"/>
        <v>3.1395814311108778</v>
      </c>
      <c r="P104" s="52">
        <f t="shared" si="45"/>
        <v>3.1395814311108778</v>
      </c>
      <c r="Q104" s="52">
        <f t="shared" si="45"/>
        <v>3.1395814311108778</v>
      </c>
      <c r="R104" s="52">
        <f t="shared" si="45"/>
        <v>3.1395814311108778</v>
      </c>
      <c r="S104" s="52">
        <f t="shared" si="45"/>
        <v>3.1395814311108778</v>
      </c>
      <c r="T104" s="52">
        <f t="shared" si="45"/>
        <v>3.1395814311108778</v>
      </c>
      <c r="U104" s="52">
        <f t="shared" si="46"/>
        <v>3.1395814311108778</v>
      </c>
      <c r="V104" s="52">
        <f t="shared" si="46"/>
        <v>3.1395814311108778</v>
      </c>
      <c r="W104" s="52">
        <f t="shared" si="46"/>
        <v>3.1395814311108778</v>
      </c>
      <c r="X104" s="52">
        <f t="shared" si="46"/>
        <v>3.1395814311108778</v>
      </c>
      <c r="Y104" s="52">
        <f t="shared" si="46"/>
        <v>3.1395814311108778</v>
      </c>
      <c r="Z104" s="52">
        <f t="shared" si="46"/>
        <v>3.1395814311108778</v>
      </c>
      <c r="AA104" s="52">
        <f t="shared" si="46"/>
        <v>3.1395814311108778</v>
      </c>
      <c r="AB104" s="52">
        <f t="shared" si="46"/>
        <v>3.1395814311108778</v>
      </c>
      <c r="AC104" s="52">
        <f t="shared" si="46"/>
        <v>3.1395814311108778</v>
      </c>
      <c r="AD104" s="52">
        <f t="shared" si="46"/>
        <v>3.1395814311108778</v>
      </c>
      <c r="AE104" s="52">
        <f t="shared" si="46"/>
        <v>3.1395814311108778</v>
      </c>
      <c r="AF104" s="52">
        <f t="shared" si="46"/>
        <v>3.1395814311108778</v>
      </c>
      <c r="AG104" s="332">
        <f t="shared" si="46"/>
        <v>3.1395814311108778</v>
      </c>
    </row>
    <row r="105" spans="1:33">
      <c r="A105" s="48" t="s">
        <v>276</v>
      </c>
      <c r="B105" s="52">
        <f>('Input Assumptions'!B$24/'EUI by End Use'!AE$4)*'EUI by End Use'!AM$4</f>
        <v>1.1433707208210211</v>
      </c>
      <c r="C105" s="46"/>
      <c r="D105" s="46"/>
      <c r="E105" s="46"/>
      <c r="F105" s="52">
        <f>('Input Assumptions'!$B$24/'EUI by End Use'!AE$4)*'EUI by End Use'!BB$4</f>
        <v>1.1433707208210211</v>
      </c>
      <c r="G105" s="52">
        <f t="shared" si="47"/>
        <v>0</v>
      </c>
      <c r="H105" s="46"/>
      <c r="I105" s="46"/>
      <c r="J105" s="57"/>
      <c r="K105" s="331">
        <f t="shared" si="45"/>
        <v>1.1433707208210211</v>
      </c>
      <c r="L105" s="52">
        <f t="shared" si="45"/>
        <v>1.1433707208210211</v>
      </c>
      <c r="M105" s="52">
        <f t="shared" si="45"/>
        <v>1.1433707208210211</v>
      </c>
      <c r="N105" s="52">
        <f t="shared" si="45"/>
        <v>1.1433707208210211</v>
      </c>
      <c r="O105" s="52">
        <f t="shared" si="45"/>
        <v>1.1433707208210211</v>
      </c>
      <c r="P105" s="52">
        <f t="shared" si="45"/>
        <v>1.1433707208210211</v>
      </c>
      <c r="Q105" s="52">
        <f t="shared" si="45"/>
        <v>1.1433707208210211</v>
      </c>
      <c r="R105" s="52">
        <f t="shared" si="45"/>
        <v>1.1433707208210211</v>
      </c>
      <c r="S105" s="52">
        <f t="shared" si="45"/>
        <v>1.1433707208210211</v>
      </c>
      <c r="T105" s="52">
        <f t="shared" si="45"/>
        <v>1.1433707208210211</v>
      </c>
      <c r="U105" s="52">
        <f t="shared" si="46"/>
        <v>1.1433707208210211</v>
      </c>
      <c r="V105" s="52">
        <f t="shared" si="46"/>
        <v>1.1433707208210211</v>
      </c>
      <c r="W105" s="52">
        <f t="shared" si="46"/>
        <v>1.1433707208210211</v>
      </c>
      <c r="X105" s="52">
        <f t="shared" si="46"/>
        <v>1.1433707208210211</v>
      </c>
      <c r="Y105" s="52">
        <f t="shared" si="46"/>
        <v>1.1433707208210211</v>
      </c>
      <c r="Z105" s="52">
        <f t="shared" si="46"/>
        <v>1.1433707208210211</v>
      </c>
      <c r="AA105" s="52">
        <f t="shared" si="46"/>
        <v>1.1433707208210211</v>
      </c>
      <c r="AB105" s="52">
        <f t="shared" si="46"/>
        <v>1.1433707208210211</v>
      </c>
      <c r="AC105" s="52">
        <f t="shared" si="46"/>
        <v>1.1433707208210211</v>
      </c>
      <c r="AD105" s="52">
        <f t="shared" si="46"/>
        <v>1.1433707208210211</v>
      </c>
      <c r="AE105" s="52">
        <f t="shared" si="46"/>
        <v>1.1433707208210211</v>
      </c>
      <c r="AF105" s="52">
        <f t="shared" si="46"/>
        <v>1.1433707208210211</v>
      </c>
      <c r="AG105" s="332">
        <f t="shared" si="46"/>
        <v>1.1433707208210211</v>
      </c>
    </row>
    <row r="106" spans="1:33">
      <c r="A106" s="48" t="s">
        <v>277</v>
      </c>
      <c r="B106" s="52">
        <f>('Input Assumptions'!B$24/'EUI by End Use'!AE$4)*'EUI by End Use'!AN$4</f>
        <v>4.6662677640660553</v>
      </c>
      <c r="C106" s="46"/>
      <c r="D106" s="46"/>
      <c r="E106" s="46"/>
      <c r="F106" s="52">
        <f>('Input Assumptions'!$B$24/'EUI by End Use'!AE$4)*'EUI by End Use'!BC$4</f>
        <v>4.6662677640660553</v>
      </c>
      <c r="G106" s="52">
        <f t="shared" si="47"/>
        <v>0</v>
      </c>
      <c r="H106" s="46"/>
      <c r="I106" s="46"/>
      <c r="J106" s="57"/>
      <c r="K106" s="331">
        <f t="shared" si="45"/>
        <v>4.6662677640660553</v>
      </c>
      <c r="L106" s="52">
        <f t="shared" si="45"/>
        <v>4.6662677640660553</v>
      </c>
      <c r="M106" s="52">
        <f t="shared" si="45"/>
        <v>4.6662677640660553</v>
      </c>
      <c r="N106" s="52">
        <f t="shared" si="45"/>
        <v>4.6662677640660553</v>
      </c>
      <c r="O106" s="52">
        <f t="shared" si="45"/>
        <v>4.6662677640660553</v>
      </c>
      <c r="P106" s="52">
        <f t="shared" si="45"/>
        <v>4.6662677640660553</v>
      </c>
      <c r="Q106" s="52">
        <f t="shared" si="45"/>
        <v>4.6662677640660553</v>
      </c>
      <c r="R106" s="52">
        <f t="shared" si="45"/>
        <v>4.6662677640660553</v>
      </c>
      <c r="S106" s="52">
        <f t="shared" si="45"/>
        <v>4.6662677640660553</v>
      </c>
      <c r="T106" s="52">
        <f t="shared" si="45"/>
        <v>4.6662677640660553</v>
      </c>
      <c r="U106" s="52">
        <f t="shared" si="46"/>
        <v>4.6662677640660553</v>
      </c>
      <c r="V106" s="52">
        <f t="shared" si="46"/>
        <v>4.6662677640660553</v>
      </c>
      <c r="W106" s="52">
        <f t="shared" si="46"/>
        <v>4.6662677640660553</v>
      </c>
      <c r="X106" s="52">
        <f t="shared" si="46"/>
        <v>4.6662677640660553</v>
      </c>
      <c r="Y106" s="52">
        <f t="shared" si="46"/>
        <v>4.6662677640660553</v>
      </c>
      <c r="Z106" s="52">
        <f t="shared" si="46"/>
        <v>4.6662677640660553</v>
      </c>
      <c r="AA106" s="52">
        <f t="shared" si="46"/>
        <v>4.6662677640660553</v>
      </c>
      <c r="AB106" s="52">
        <f t="shared" si="46"/>
        <v>4.6662677640660553</v>
      </c>
      <c r="AC106" s="52">
        <f t="shared" si="46"/>
        <v>4.6662677640660553</v>
      </c>
      <c r="AD106" s="52">
        <f t="shared" si="46"/>
        <v>4.6662677640660553</v>
      </c>
      <c r="AE106" s="52">
        <f t="shared" si="46"/>
        <v>4.6662677640660553</v>
      </c>
      <c r="AF106" s="52">
        <f t="shared" si="46"/>
        <v>4.6662677640660553</v>
      </c>
      <c r="AG106" s="332">
        <f t="shared" si="46"/>
        <v>4.6662677640660553</v>
      </c>
    </row>
    <row r="107" spans="1:33">
      <c r="A107" s="48" t="s">
        <v>76</v>
      </c>
      <c r="B107" s="52">
        <f>B99-(SUM(B100:B106))</f>
        <v>8.6265278693802543</v>
      </c>
      <c r="C107" s="46"/>
      <c r="D107" s="46"/>
      <c r="E107" s="46"/>
      <c r="F107" s="52">
        <f>B107</f>
        <v>8.6265278693802543</v>
      </c>
      <c r="G107" s="52">
        <f t="shared" si="47"/>
        <v>0</v>
      </c>
      <c r="H107" s="46"/>
      <c r="I107" s="46"/>
      <c r="J107" s="57"/>
      <c r="K107" s="331">
        <f t="shared" si="45"/>
        <v>8.6265278693802543</v>
      </c>
      <c r="L107" s="52">
        <f t="shared" si="45"/>
        <v>8.6265278693802543</v>
      </c>
      <c r="M107" s="52">
        <f t="shared" si="45"/>
        <v>8.6265278693802543</v>
      </c>
      <c r="N107" s="52">
        <f t="shared" si="45"/>
        <v>8.6265278693802543</v>
      </c>
      <c r="O107" s="52">
        <f t="shared" si="45"/>
        <v>8.6265278693802543</v>
      </c>
      <c r="P107" s="52">
        <f t="shared" si="45"/>
        <v>8.6265278693802543</v>
      </c>
      <c r="Q107" s="52">
        <f t="shared" si="45"/>
        <v>8.6265278693802543</v>
      </c>
      <c r="R107" s="52">
        <f t="shared" si="45"/>
        <v>8.6265278693802543</v>
      </c>
      <c r="S107" s="52">
        <f t="shared" si="45"/>
        <v>8.6265278693802543</v>
      </c>
      <c r="T107" s="52">
        <f t="shared" si="45"/>
        <v>8.6265278693802543</v>
      </c>
      <c r="U107" s="52">
        <f t="shared" si="46"/>
        <v>8.6265278693802543</v>
      </c>
      <c r="V107" s="52">
        <f t="shared" si="46"/>
        <v>8.6265278693802543</v>
      </c>
      <c r="W107" s="52">
        <f t="shared" si="46"/>
        <v>8.6265278693802543</v>
      </c>
      <c r="X107" s="52">
        <f t="shared" si="46"/>
        <v>8.6265278693802543</v>
      </c>
      <c r="Y107" s="52">
        <f t="shared" si="46"/>
        <v>8.6265278693802543</v>
      </c>
      <c r="Z107" s="52">
        <f t="shared" si="46"/>
        <v>8.6265278693802543</v>
      </c>
      <c r="AA107" s="52">
        <f t="shared" si="46"/>
        <v>8.6265278693802543</v>
      </c>
      <c r="AB107" s="52">
        <f t="shared" si="46"/>
        <v>8.6265278693802543</v>
      </c>
      <c r="AC107" s="52">
        <f t="shared" si="46"/>
        <v>8.6265278693802543</v>
      </c>
      <c r="AD107" s="52">
        <f t="shared" si="46"/>
        <v>8.6265278693802543</v>
      </c>
      <c r="AE107" s="52">
        <f t="shared" si="46"/>
        <v>8.6265278693802543</v>
      </c>
      <c r="AF107" s="52">
        <f t="shared" si="46"/>
        <v>8.6265278693802543</v>
      </c>
      <c r="AG107" s="332">
        <f t="shared" si="46"/>
        <v>8.6265278693802543</v>
      </c>
    </row>
    <row r="108" spans="1:33">
      <c r="A108" s="48" t="s">
        <v>21</v>
      </c>
      <c r="B108" s="49">
        <f>(B97/1000)*B99</f>
        <v>4464403.7402360374</v>
      </c>
      <c r="C108" s="46"/>
      <c r="D108" s="46"/>
      <c r="E108" s="46"/>
      <c r="F108" s="49">
        <f>(F97/1000)*F99</f>
        <v>3675059.9297343497</v>
      </c>
      <c r="G108" s="38">
        <f t="shared" si="47"/>
        <v>789343.81050168769</v>
      </c>
      <c r="H108" s="46"/>
      <c r="I108" s="46"/>
      <c r="J108" s="57"/>
      <c r="K108" s="182">
        <f t="shared" si="45"/>
        <v>3675059.9297343497</v>
      </c>
      <c r="L108" s="49">
        <f t="shared" si="45"/>
        <v>3675059.9297343497</v>
      </c>
      <c r="M108" s="49">
        <f t="shared" si="45"/>
        <v>3675059.9297343497</v>
      </c>
      <c r="N108" s="49">
        <f t="shared" si="45"/>
        <v>3675059.9297343497</v>
      </c>
      <c r="O108" s="49">
        <f t="shared" si="45"/>
        <v>3675059.9297343497</v>
      </c>
      <c r="P108" s="49">
        <f t="shared" si="45"/>
        <v>3675059.9297343497</v>
      </c>
      <c r="Q108" s="49">
        <f t="shared" si="45"/>
        <v>3675059.9297343497</v>
      </c>
      <c r="R108" s="49">
        <f t="shared" si="45"/>
        <v>3675059.9297343497</v>
      </c>
      <c r="S108" s="49">
        <f t="shared" si="45"/>
        <v>3675059.9297343497</v>
      </c>
      <c r="T108" s="49">
        <f t="shared" si="45"/>
        <v>3675059.9297343497</v>
      </c>
      <c r="U108" s="49">
        <f t="shared" si="46"/>
        <v>3675059.9297343497</v>
      </c>
      <c r="V108" s="49">
        <f t="shared" si="46"/>
        <v>3675059.9297343497</v>
      </c>
      <c r="W108" s="49">
        <f t="shared" si="46"/>
        <v>3675059.9297343497</v>
      </c>
      <c r="X108" s="49">
        <f t="shared" si="46"/>
        <v>3675059.9297343497</v>
      </c>
      <c r="Y108" s="49">
        <f t="shared" si="46"/>
        <v>3675059.9297343497</v>
      </c>
      <c r="Z108" s="49">
        <f t="shared" si="46"/>
        <v>3675059.9297343497</v>
      </c>
      <c r="AA108" s="49">
        <f t="shared" si="46"/>
        <v>3675059.9297343497</v>
      </c>
      <c r="AB108" s="49">
        <f t="shared" si="46"/>
        <v>3675059.9297343497</v>
      </c>
      <c r="AC108" s="49">
        <f t="shared" si="46"/>
        <v>3675059.9297343497</v>
      </c>
      <c r="AD108" s="49">
        <f t="shared" si="46"/>
        <v>3675059.9297343497</v>
      </c>
      <c r="AE108" s="49">
        <f t="shared" si="46"/>
        <v>3675059.9297343497</v>
      </c>
      <c r="AF108" s="49">
        <f t="shared" si="46"/>
        <v>3675059.9297343497</v>
      </c>
      <c r="AG108" s="183">
        <f t="shared" si="46"/>
        <v>3675059.9297343497</v>
      </c>
    </row>
    <row r="109" spans="1:33" ht="13.5" thickBot="1">
      <c r="A109" s="48" t="s">
        <v>22</v>
      </c>
      <c r="B109" s="54">
        <f>B108/8760000</f>
        <v>0.50963513016393125</v>
      </c>
      <c r="C109" s="46"/>
      <c r="D109" s="46"/>
      <c r="E109" s="46"/>
      <c r="F109" s="54">
        <f>F108/8760000</f>
        <v>0.41952738923908101</v>
      </c>
      <c r="G109" s="55">
        <f t="shared" si="47"/>
        <v>9.0107740924850244E-2</v>
      </c>
      <c r="H109" s="46"/>
      <c r="I109" s="46"/>
      <c r="J109" s="46"/>
      <c r="K109" s="338">
        <f t="shared" si="45"/>
        <v>0.41952738923908101</v>
      </c>
      <c r="L109" s="54">
        <f t="shared" si="45"/>
        <v>0.41952738923908101</v>
      </c>
      <c r="M109" s="54">
        <f t="shared" si="45"/>
        <v>0.41952738923908101</v>
      </c>
      <c r="N109" s="54">
        <f t="shared" si="45"/>
        <v>0.41952738923908101</v>
      </c>
      <c r="O109" s="54">
        <f t="shared" si="45"/>
        <v>0.41952738923908101</v>
      </c>
      <c r="P109" s="54">
        <f t="shared" si="45"/>
        <v>0.41952738923908101</v>
      </c>
      <c r="Q109" s="54">
        <f t="shared" si="45"/>
        <v>0.41952738923908101</v>
      </c>
      <c r="R109" s="54">
        <f t="shared" si="45"/>
        <v>0.41952738923908101</v>
      </c>
      <c r="S109" s="54">
        <f t="shared" si="45"/>
        <v>0.41952738923908101</v>
      </c>
      <c r="T109" s="54">
        <f t="shared" si="45"/>
        <v>0.41952738923908101</v>
      </c>
      <c r="U109" s="54">
        <f t="shared" si="46"/>
        <v>0.41952738923908101</v>
      </c>
      <c r="V109" s="54">
        <f t="shared" si="46"/>
        <v>0.41952738923908101</v>
      </c>
      <c r="W109" s="54">
        <f t="shared" si="46"/>
        <v>0.41952738923908101</v>
      </c>
      <c r="X109" s="54">
        <f t="shared" si="46"/>
        <v>0.41952738923908101</v>
      </c>
      <c r="Y109" s="54">
        <f t="shared" si="46"/>
        <v>0.41952738923908101</v>
      </c>
      <c r="Z109" s="54">
        <f t="shared" si="46"/>
        <v>0.41952738923908101</v>
      </c>
      <c r="AA109" s="54">
        <f t="shared" si="46"/>
        <v>0.41952738923908101</v>
      </c>
      <c r="AB109" s="54">
        <f t="shared" si="46"/>
        <v>0.41952738923908101</v>
      </c>
      <c r="AC109" s="54">
        <f t="shared" si="46"/>
        <v>0.41952738923908101</v>
      </c>
      <c r="AD109" s="54">
        <f t="shared" si="46"/>
        <v>0.41952738923908101</v>
      </c>
      <c r="AE109" s="54">
        <f t="shared" si="46"/>
        <v>0.41952738923908101</v>
      </c>
      <c r="AF109" s="54">
        <f t="shared" si="46"/>
        <v>0.41952738923908101</v>
      </c>
      <c r="AG109" s="339">
        <f t="shared" si="46"/>
        <v>0.41952738923908101</v>
      </c>
    </row>
    <row r="110" spans="1:33" ht="13.5" thickBot="1">
      <c r="A110" s="677"/>
      <c r="B110" s="678"/>
      <c r="C110" s="678"/>
      <c r="D110" s="678"/>
      <c r="E110" s="678"/>
      <c r="F110" s="678"/>
      <c r="G110" s="679"/>
      <c r="H110" s="676" t="s">
        <v>24</v>
      </c>
      <c r="I110" s="673"/>
      <c r="J110" s="674"/>
      <c r="K110" s="340">
        <f t="shared" ref="K110:AF110" si="48">$B109+K81</f>
        <v>7.6030614527802367</v>
      </c>
      <c r="L110" s="341">
        <f t="shared" si="48"/>
        <v>8.0281416282271909</v>
      </c>
      <c r="M110" s="341">
        <f t="shared" si="48"/>
        <v>8.1543851916594789</v>
      </c>
      <c r="N110" s="341">
        <f t="shared" ca="1" si="48"/>
        <v>8.2755512047934765</v>
      </c>
      <c r="O110" s="341">
        <f t="shared" ca="1" si="48"/>
        <v>8.3840724228545795</v>
      </c>
      <c r="P110" s="341">
        <f t="shared" ca="1" si="48"/>
        <v>8.4906442957617649</v>
      </c>
      <c r="Q110" s="341">
        <f t="shared" ca="1" si="48"/>
        <v>8.591858821057615</v>
      </c>
      <c r="R110" s="341">
        <f t="shared" ca="1" si="48"/>
        <v>8.6935988701930373</v>
      </c>
      <c r="S110" s="341">
        <f t="shared" ca="1" si="48"/>
        <v>8.7985860794806783</v>
      </c>
      <c r="T110" s="341">
        <f t="shared" ca="1" si="48"/>
        <v>8.9173954105987612</v>
      </c>
      <c r="U110" s="341">
        <f t="shared" ca="1" si="48"/>
        <v>9.0461109080281403</v>
      </c>
      <c r="V110" s="341">
        <f t="shared" ca="1" si="48"/>
        <v>9.1820519926470112</v>
      </c>
      <c r="W110" s="341">
        <f t="shared" ca="1" si="48"/>
        <v>9.3246648407182651</v>
      </c>
      <c r="X110" s="341">
        <f t="shared" ca="1" si="48"/>
        <v>9.4766460257842819</v>
      </c>
      <c r="Y110" s="341">
        <f t="shared" ca="1" si="48"/>
        <v>9.6225066539412527</v>
      </c>
      <c r="Z110" s="341">
        <f t="shared" ca="1" si="48"/>
        <v>9.7681781572671404</v>
      </c>
      <c r="AA110" s="341">
        <f t="shared" ca="1" si="48"/>
        <v>9.9117150562538399</v>
      </c>
      <c r="AB110" s="341">
        <f t="shared" ca="1" si="48"/>
        <v>10.07387501394741</v>
      </c>
      <c r="AC110" s="341">
        <f t="shared" ca="1" si="48"/>
        <v>10.206361610029344</v>
      </c>
      <c r="AD110" s="341">
        <f t="shared" ca="1" si="48"/>
        <v>10.349824788576196</v>
      </c>
      <c r="AE110" s="341">
        <f t="shared" ca="1" si="48"/>
        <v>10.510614544587405</v>
      </c>
      <c r="AF110" s="341">
        <f t="shared" ca="1" si="48"/>
        <v>10.650926476823445</v>
      </c>
      <c r="AG110" s="342">
        <f t="shared" ref="AG110" ca="1" si="49">$B109+AG81</f>
        <v>10.806152635609561</v>
      </c>
    </row>
    <row r="111" spans="1:33" ht="13.5" thickBot="1">
      <c r="A111" s="62" t="s">
        <v>25</v>
      </c>
      <c r="B111" s="70">
        <f>B94+B109</f>
        <v>7.6030526880551461</v>
      </c>
      <c r="C111" s="64"/>
      <c r="D111" s="64"/>
      <c r="E111" s="64"/>
      <c r="F111" s="70">
        <f>F94+F109</f>
        <v>6.9762925275116041</v>
      </c>
      <c r="G111" s="65">
        <f>G94+G109</f>
        <v>0.62676016054354222</v>
      </c>
      <c r="H111" s="658" t="s">
        <v>26</v>
      </c>
      <c r="I111" s="659"/>
      <c r="J111" s="660"/>
      <c r="K111" s="333">
        <f t="shared" ref="K111:AF111" si="50">K94+K109</f>
        <v>6.976300629141523</v>
      </c>
      <c r="L111" s="76">
        <f t="shared" si="50"/>
        <v>7.3692213690521093</v>
      </c>
      <c r="M111" s="76">
        <f t="shared" si="50"/>
        <v>7.4859139772185737</v>
      </c>
      <c r="N111" s="76">
        <f t="shared" ca="1" si="50"/>
        <v>7.5979131770932034</v>
      </c>
      <c r="O111" s="76">
        <f t="shared" ca="1" si="50"/>
        <v>7.6982242237133676</v>
      </c>
      <c r="P111" s="76">
        <f t="shared" ca="1" si="50"/>
        <v>7.7967334028636754</v>
      </c>
      <c r="Q111" s="76">
        <f t="shared" ca="1" si="50"/>
        <v>7.8902905444714397</v>
      </c>
      <c r="R111" s="76">
        <f t="shared" ca="1" si="50"/>
        <v>7.9843334514190447</v>
      </c>
      <c r="S111" s="76">
        <f t="shared" ca="1" si="50"/>
        <v>8.0813778546567914</v>
      </c>
      <c r="T111" s="76">
        <f t="shared" ca="1" si="50"/>
        <v>8.1911986672649402</v>
      </c>
      <c r="U111" s="76">
        <f t="shared" ca="1" si="50"/>
        <v>8.3101761952918203</v>
      </c>
      <c r="V111" s="76">
        <f t="shared" ca="1" si="50"/>
        <v>8.4358326587966932</v>
      </c>
      <c r="W111" s="76">
        <f t="shared" ca="1" si="50"/>
        <v>8.5676561335705834</v>
      </c>
      <c r="X111" s="76">
        <f t="shared" ca="1" si="50"/>
        <v>8.7081391839171154</v>
      </c>
      <c r="Y111" s="76">
        <f t="shared" ca="1" si="50"/>
        <v>8.8429647280135892</v>
      </c>
      <c r="Z111" s="76">
        <f t="shared" ca="1" si="50"/>
        <v>8.977615455515787</v>
      </c>
      <c r="AA111" s="76">
        <f t="shared" ca="1" si="50"/>
        <v>9.1102930721442839</v>
      </c>
      <c r="AB111" s="76">
        <f t="shared" ca="1" si="50"/>
        <v>9.2601848201982406</v>
      </c>
      <c r="AC111" s="76">
        <f t="shared" ca="1" si="50"/>
        <v>9.3826481444546914</v>
      </c>
      <c r="AD111" s="76">
        <f t="shared" ca="1" si="50"/>
        <v>9.5152576179623267</v>
      </c>
      <c r="AE111" s="76">
        <f t="shared" ca="1" si="50"/>
        <v>9.66388282692564</v>
      </c>
      <c r="AF111" s="76">
        <f t="shared" ca="1" si="50"/>
        <v>9.7935794616240273</v>
      </c>
      <c r="AG111" s="334">
        <f t="shared" ref="AG111" ca="1" si="51">AG94+AG109</f>
        <v>9.9370619872430783</v>
      </c>
    </row>
    <row r="112" spans="1:33" ht="13.5" thickBot="1">
      <c r="A112" s="680"/>
      <c r="B112" s="680"/>
      <c r="C112" s="680"/>
      <c r="D112" s="680"/>
      <c r="E112" s="680"/>
      <c r="F112" s="680"/>
      <c r="G112" s="681"/>
      <c r="H112" s="658" t="s">
        <v>27</v>
      </c>
      <c r="I112" s="659"/>
      <c r="J112" s="659"/>
      <c r="K112" s="335">
        <f t="shared" ref="K112:AF112" si="52">K110-K111</f>
        <v>0.62676082363871366</v>
      </c>
      <c r="L112" s="336">
        <f t="shared" si="52"/>
        <v>0.65892025917508157</v>
      </c>
      <c r="M112" s="336">
        <f t="shared" si="52"/>
        <v>0.66847121444090529</v>
      </c>
      <c r="N112" s="336">
        <f t="shared" ca="1" si="52"/>
        <v>0.67763802770027315</v>
      </c>
      <c r="O112" s="336">
        <f t="shared" ca="1" si="52"/>
        <v>0.68584819914121198</v>
      </c>
      <c r="P112" s="336">
        <f t="shared" ca="1" si="52"/>
        <v>0.69391089289808949</v>
      </c>
      <c r="Q112" s="336">
        <f t="shared" ca="1" si="52"/>
        <v>0.70156827658617527</v>
      </c>
      <c r="R112" s="336">
        <f t="shared" ca="1" si="52"/>
        <v>0.70926541877399263</v>
      </c>
      <c r="S112" s="336">
        <f t="shared" ca="1" si="52"/>
        <v>0.71720822482388691</v>
      </c>
      <c r="T112" s="336">
        <f t="shared" ca="1" si="52"/>
        <v>0.726196743333821</v>
      </c>
      <c r="U112" s="336">
        <f t="shared" ca="1" si="52"/>
        <v>0.73593471273632005</v>
      </c>
      <c r="V112" s="336">
        <f t="shared" ca="1" si="52"/>
        <v>0.74621933385031802</v>
      </c>
      <c r="W112" s="336">
        <f t="shared" ca="1" si="52"/>
        <v>0.75700870714768165</v>
      </c>
      <c r="X112" s="336">
        <f t="shared" ca="1" si="52"/>
        <v>0.76850684186716656</v>
      </c>
      <c r="Y112" s="336">
        <f t="shared" ca="1" si="52"/>
        <v>0.77954192592766347</v>
      </c>
      <c r="Z112" s="336">
        <f t="shared" ca="1" si="52"/>
        <v>0.79056270175135346</v>
      </c>
      <c r="AA112" s="336">
        <f t="shared" ca="1" si="52"/>
        <v>0.80142198410955601</v>
      </c>
      <c r="AB112" s="336">
        <f t="shared" ca="1" si="52"/>
        <v>0.81369019374916896</v>
      </c>
      <c r="AC112" s="336">
        <f t="shared" ca="1" si="52"/>
        <v>0.8237134655746523</v>
      </c>
      <c r="AD112" s="336">
        <f t="shared" ca="1" si="52"/>
        <v>0.83456717061386954</v>
      </c>
      <c r="AE112" s="336">
        <f t="shared" ca="1" si="52"/>
        <v>0.8467317176617648</v>
      </c>
      <c r="AF112" s="336">
        <f t="shared" ca="1" si="52"/>
        <v>0.85734701519941758</v>
      </c>
      <c r="AG112" s="337">
        <f t="shared" ref="AG112" ca="1" si="53">AG110-AG111</f>
        <v>0.8690906483664822</v>
      </c>
    </row>
    <row r="113" spans="1:33" ht="38.25">
      <c r="A113" s="35" t="s">
        <v>0</v>
      </c>
      <c r="B113" s="36" t="s">
        <v>1</v>
      </c>
      <c r="C113" s="36" t="s">
        <v>2</v>
      </c>
      <c r="D113" s="36" t="s">
        <v>3</v>
      </c>
    </row>
    <row r="114" spans="1:33" ht="13.5" thickBot="1">
      <c r="A114" s="37" t="s">
        <v>30</v>
      </c>
      <c r="B114" s="38">
        <f>'State Dairy Production Data'!AC27</f>
        <v>266989</v>
      </c>
      <c r="C114" s="346">
        <f>'State Dairy Production Data'!AD27</f>
        <v>23820</v>
      </c>
      <c r="D114" s="38">
        <f>'State Dairy Production Data'!AE27*1000000</f>
        <v>6336120000</v>
      </c>
    </row>
    <row r="115" spans="1:33" ht="13.5" thickBot="1">
      <c r="A115" s="34" t="s">
        <v>6</v>
      </c>
      <c r="B115" s="39" t="s">
        <v>5</v>
      </c>
      <c r="C115" s="40">
        <f>'Milk Production by Herd Size'!D24</f>
        <v>0.98305548168651147</v>
      </c>
    </row>
    <row r="116" spans="1:33" ht="13.5" thickBot="1">
      <c r="B116" s="39" t="s">
        <v>7</v>
      </c>
      <c r="C116" s="66">
        <f>'Milk Production by Herd Size'!C24</f>
        <v>1.6944518313488571E-2</v>
      </c>
      <c r="D116" s="43"/>
    </row>
    <row r="117" spans="1:33" ht="13.5" thickBot="1">
      <c r="A117" s="664" t="s">
        <v>8</v>
      </c>
      <c r="B117" s="665"/>
      <c r="C117" s="665" t="s">
        <v>31</v>
      </c>
      <c r="D117" s="665"/>
      <c r="E117" s="665"/>
      <c r="F117" s="665"/>
      <c r="G117" s="665"/>
      <c r="H117" s="665"/>
      <c r="I117" s="665"/>
      <c r="J117" s="666"/>
      <c r="K117" s="343">
        <v>2013</v>
      </c>
      <c r="L117" s="344">
        <v>2014</v>
      </c>
      <c r="M117" s="344">
        <v>2015</v>
      </c>
      <c r="N117" s="344">
        <v>2016</v>
      </c>
      <c r="O117" s="344">
        <v>2017</v>
      </c>
      <c r="P117" s="344">
        <v>2018</v>
      </c>
      <c r="Q117" s="344">
        <v>2019</v>
      </c>
      <c r="R117" s="344">
        <v>2020</v>
      </c>
      <c r="S117" s="344">
        <v>2021</v>
      </c>
      <c r="T117" s="344">
        <v>2022</v>
      </c>
      <c r="U117" s="344">
        <v>2023</v>
      </c>
      <c r="V117" s="344">
        <v>2024</v>
      </c>
      <c r="W117" s="344">
        <v>2025</v>
      </c>
      <c r="X117" s="344">
        <v>2026</v>
      </c>
      <c r="Y117" s="344">
        <v>2027</v>
      </c>
      <c r="Z117" s="344">
        <v>2028</v>
      </c>
      <c r="AA117" s="344">
        <v>2029</v>
      </c>
      <c r="AB117" s="344">
        <v>2030</v>
      </c>
      <c r="AC117" s="344">
        <v>2031</v>
      </c>
      <c r="AD117" s="344">
        <v>2032</v>
      </c>
      <c r="AE117" s="344">
        <v>2033</v>
      </c>
      <c r="AF117" s="344">
        <v>2034</v>
      </c>
      <c r="AG117" s="344">
        <v>2035</v>
      </c>
    </row>
    <row r="118" spans="1:33">
      <c r="A118" s="44" t="s">
        <v>9</v>
      </c>
      <c r="B118" s="45">
        <f>C115*B114</f>
        <v>262465</v>
      </c>
      <c r="C118" s="46"/>
      <c r="D118" s="46"/>
      <c r="E118" s="46"/>
      <c r="F118" s="45">
        <f>B118</f>
        <v>262465</v>
      </c>
      <c r="G118" s="46"/>
      <c r="H118" s="46"/>
      <c r="I118" s="46"/>
      <c r="J118" s="47" t="s">
        <v>11</v>
      </c>
      <c r="K118" s="321">
        <f t="shared" ref="K118:AF118" si="54">($B121*(K119/1000)/8760000)</f>
        <v>18.197431786932405</v>
      </c>
      <c r="L118" s="322">
        <f t="shared" si="54"/>
        <v>17.791429321633561</v>
      </c>
      <c r="M118" s="322">
        <f t="shared" si="54"/>
        <v>18.09893204109536</v>
      </c>
      <c r="N118" s="322">
        <f t="shared" ca="1" si="54"/>
        <v>18.435296675041645</v>
      </c>
      <c r="O118" s="322">
        <f t="shared" ca="1" si="54"/>
        <v>18.757452723691472</v>
      </c>
      <c r="P118" s="322">
        <f t="shared" ca="1" si="54"/>
        <v>19.109181884236683</v>
      </c>
      <c r="Q118" s="322">
        <f t="shared" ca="1" si="54"/>
        <v>19.408649129724903</v>
      </c>
      <c r="R118" s="322">
        <f t="shared" ca="1" si="54"/>
        <v>19.725400050267275</v>
      </c>
      <c r="S118" s="322">
        <f t="shared" ca="1" si="54"/>
        <v>19.99403924823924</v>
      </c>
      <c r="T118" s="322">
        <f t="shared" ca="1" si="54"/>
        <v>20.331658448942964</v>
      </c>
      <c r="U118" s="322">
        <f t="shared" ca="1" si="54"/>
        <v>20.58785391977576</v>
      </c>
      <c r="V118" s="322">
        <f t="shared" ca="1" si="54"/>
        <v>20.898601779820996</v>
      </c>
      <c r="W118" s="322">
        <f t="shared" ca="1" si="54"/>
        <v>21.253933557505231</v>
      </c>
      <c r="X118" s="322">
        <f t="shared" ca="1" si="54"/>
        <v>21.643758088659673</v>
      </c>
      <c r="Y118" s="322">
        <f t="shared" ca="1" si="54"/>
        <v>22.060868730618694</v>
      </c>
      <c r="Z118" s="322">
        <f t="shared" ca="1" si="54"/>
        <v>22.447166984990172</v>
      </c>
      <c r="AA118" s="322">
        <f t="shared" ca="1" si="54"/>
        <v>22.842600410152233</v>
      </c>
      <c r="AB118" s="322">
        <f t="shared" ca="1" si="54"/>
        <v>23.223006708562092</v>
      </c>
      <c r="AC118" s="322">
        <f t="shared" ca="1" si="54"/>
        <v>23.679303752052263</v>
      </c>
      <c r="AD118" s="322">
        <f t="shared" ca="1" si="54"/>
        <v>24.109636255295499</v>
      </c>
      <c r="AE118" s="322">
        <f t="shared" ca="1" si="54"/>
        <v>24.482792840247736</v>
      </c>
      <c r="AF118" s="322">
        <f t="shared" ca="1" si="54"/>
        <v>24.950423595465264</v>
      </c>
      <c r="AG118" s="323">
        <f t="shared" ref="AG118" ca="1" si="55">($B121*(AG119/1000)/8760000)</f>
        <v>25.299381245635562</v>
      </c>
    </row>
    <row r="119" spans="1:33">
      <c r="A119" s="48" t="s">
        <v>3</v>
      </c>
      <c r="B119" s="49">
        <f>D114*C115</f>
        <v>6228757498.623539</v>
      </c>
      <c r="C119" s="46"/>
      <c r="D119" s="46"/>
      <c r="E119" s="46"/>
      <c r="F119" s="49">
        <f>B119</f>
        <v>6228757498.623539</v>
      </c>
      <c r="G119" s="46"/>
      <c r="H119" s="46"/>
      <c r="I119" s="46"/>
      <c r="J119" s="57"/>
      <c r="K119" s="324">
        <f>'[2]Dairy Forecast (Base Case)'!C$160*1000000-$F134</f>
        <v>6228637498.623539</v>
      </c>
      <c r="L119" s="324">
        <f>'[2]Dairy Forecast (Base Case)'!D$160*1000000-$F134</f>
        <v>6089670516.3865213</v>
      </c>
      <c r="M119" s="324">
        <f>'[2]Dairy Forecast (Base Case)'!E$160*1000000-$F134</f>
        <v>6194922894.4030657</v>
      </c>
      <c r="N119" s="38">
        <f ca="1">(INDEX([2]!tbl_Forecast,MATCH('SC-Retro'!$D$8&amp;'Input Assumptions'!$A$114&amp;"Dairy"&amp;'SC-Retro'!$D$7,[2]!rng_ForecastRowLookup,0),MATCH('Input Assumptions'!N$6,[2]!rng_ForecastColumnLookup,0))*1000000-$F134)</f>
        <v>6310054161.0971432</v>
      </c>
      <c r="O119" s="38">
        <f ca="1">(INDEX([2]!tbl_Forecast,MATCH('SC-Retro'!$D$8&amp;'Input Assumptions'!$A$114&amp;"Dairy"&amp;'SC-Retro'!$D$7,[2]!rng_ForecastRowLookup,0),MATCH('Input Assumptions'!O$6,[2]!rng_ForecastColumnLookup,0))*1000000-$F134)</f>
        <v>6420322097.1731358</v>
      </c>
      <c r="P119" s="38">
        <f ca="1">(INDEX([2]!tbl_Forecast,MATCH('SC-Retro'!$D$8&amp;'Input Assumptions'!$A$114&amp;"Dairy"&amp;'SC-Retro'!$D$7,[2]!rng_ForecastRowLookup,0),MATCH('Input Assumptions'!P$6,[2]!rng_ForecastColumnLookup,0))*1000000-$F134)</f>
        <v>6540712351.3794746</v>
      </c>
      <c r="Q119" s="38">
        <f ca="1">(INDEX([2]!tbl_Forecast,MATCH('SC-Retro'!$D$8&amp;'Input Assumptions'!$A$114&amp;"Dairy"&amp;'SC-Retro'!$D$7,[2]!rng_ForecastRowLookup,0),MATCH('Input Assumptions'!Q$6,[2]!rng_ForecastColumnLookup,0))*1000000-$F134)</f>
        <v>6643214338.291544</v>
      </c>
      <c r="R119" s="38">
        <f ca="1">(INDEX([2]!tbl_Forecast,MATCH('SC-Retro'!$D$8&amp;'Input Assumptions'!$A$114&amp;"Dairy"&amp;'SC-Retro'!$D$7,[2]!rng_ForecastRowLookup,0),MATCH('Input Assumptions'!R$6,[2]!rng_ForecastColumnLookup,0))*1000000-$F134)</f>
        <v>6751632201.0160236</v>
      </c>
      <c r="S119" s="38">
        <f ca="1">(INDEX([2]!tbl_Forecast,MATCH('SC-Retro'!$D$8&amp;'Input Assumptions'!$A$114&amp;"Dairy"&amp;'SC-Retro'!$D$7,[2]!rng_ForecastRowLookup,0),MATCH('Input Assumptions'!S$6,[2]!rng_ForecastColumnLookup,0))*1000000-$F134)</f>
        <v>6843582329.0164986</v>
      </c>
      <c r="T119" s="38">
        <f ca="1">(INDEX([2]!tbl_Forecast,MATCH('SC-Retro'!$D$8&amp;'Input Assumptions'!$A$114&amp;"Dairy"&amp;'SC-Retro'!$D$7,[2]!rng_ForecastRowLookup,0),MATCH('Input Assumptions'!T$6,[2]!rng_ForecastColumnLookup,0))*1000000-$F134)</f>
        <v>6959143010.2368364</v>
      </c>
      <c r="U119" s="38">
        <f ca="1">(INDEX([2]!tbl_Forecast,MATCH('SC-Retro'!$D$8&amp;'Input Assumptions'!$A$114&amp;"Dairy"&amp;'SC-Retro'!$D$7,[2]!rng_ForecastRowLookup,0),MATCH('Input Assumptions'!U$6,[2]!rng_ForecastColumnLookup,0))*1000000-$F134)</f>
        <v>7046833885.2619905</v>
      </c>
      <c r="V119" s="38">
        <f ca="1">(INDEX([2]!tbl_Forecast,MATCH('SC-Retro'!$D$8&amp;'Input Assumptions'!$A$114&amp;"Dairy"&amp;'SC-Retro'!$D$7,[2]!rng_ForecastRowLookup,0),MATCH('Input Assumptions'!V$6,[2]!rng_ForecastColumnLookup,0))*1000000-$F134)</f>
        <v>7153197013.6614981</v>
      </c>
      <c r="W119" s="38">
        <f ca="1">(INDEX([2]!tbl_Forecast,MATCH('SC-Retro'!$D$8&amp;'Input Assumptions'!$A$114&amp;"Dairy"&amp;'SC-Retro'!$D$7,[2]!rng_ForecastRowLookup,0),MATCH('Input Assumptions'!W$6,[2]!rng_ForecastColumnLookup,0))*1000000-$F134)</f>
        <v>7274820375.7298708</v>
      </c>
      <c r="X119" s="38">
        <f ca="1">(INDEX([2]!tbl_Forecast,MATCH('SC-Retro'!$D$8&amp;'Input Assumptions'!$A$114&amp;"Dairy"&amp;'SC-Retro'!$D$7,[2]!rng_ForecastRowLookup,0),MATCH('Input Assumptions'!X$6,[2]!rng_ForecastColumnLookup,0))*1000000-$F134)</f>
        <v>7408249956.4015503</v>
      </c>
      <c r="Y119" s="38">
        <f ca="1">(INDEX([2]!tbl_Forecast,MATCH('SC-Retro'!$D$8&amp;'Input Assumptions'!$A$114&amp;"Dairy"&amp;'SC-Retro'!$D$7,[2]!rng_ForecastRowLookup,0),MATCH('Input Assumptions'!Y$6,[2]!rng_ForecastColumnLookup,0))*1000000-$F134)</f>
        <v>7551019057.8879776</v>
      </c>
      <c r="Z119" s="38">
        <f ca="1">(INDEX([2]!tbl_Forecast,MATCH('SC-Retro'!$D$8&amp;'Input Assumptions'!$A$114&amp;"Dairy"&amp;'SC-Retro'!$D$7,[2]!rng_ForecastRowLookup,0),MATCH('Input Assumptions'!Z$6,[2]!rng_ForecastColumnLookup,0))*1000000-$F134)</f>
        <v>7683241660.5608912</v>
      </c>
      <c r="AA119" s="38">
        <f ca="1">(INDEX([2]!tbl_Forecast,MATCH('SC-Retro'!$D$8&amp;'Input Assumptions'!$A$114&amp;"Dairy"&amp;'SC-Retro'!$D$7,[2]!rng_ForecastRowLookup,0),MATCH('Input Assumptions'!AA$6,[2]!rng_ForecastColumnLookup,0))*1000000-$F134)</f>
        <v>7818591059.8064623</v>
      </c>
      <c r="AB119" s="38">
        <f ca="1">(INDEX([2]!tbl_Forecast,MATCH('SC-Retro'!$D$8&amp;'Input Assumptions'!$A$114&amp;"Dairy"&amp;'SC-Retro'!$D$7,[2]!rng_ForecastRowLookup,0),MATCH('Input Assumptions'!AB$6,[2]!rng_ForecastColumnLookup,0))*1000000-$F134)</f>
        <v>7948796957.1402664</v>
      </c>
      <c r="AC119" s="38">
        <f ca="1">(INDEX([2]!tbl_Forecast,MATCH('SC-Retro'!$D$8&amp;'Input Assumptions'!$A$114&amp;"Dairy"&amp;'SC-Retro'!$D$7,[2]!rng_ForecastRowLookup,0),MATCH('Input Assumptions'!AC$6,[2]!rng_ForecastColumnLookup,0))*1000000-$F134)</f>
        <v>8104978824.387867</v>
      </c>
      <c r="AD119" s="38">
        <f ca="1">(INDEX([2]!tbl_Forecast,MATCH('SC-Retro'!$D$8&amp;'Input Assumptions'!$A$114&amp;"Dairy"&amp;'SC-Retro'!$D$7,[2]!rng_ForecastRowLookup,0),MATCH('Input Assumptions'!AD$6,[2]!rng_ForecastColumnLookup,0))*1000000-$F134)</f>
        <v>8252273519.483366</v>
      </c>
      <c r="AE119" s="38">
        <f ca="1">(INDEX([2]!tbl_Forecast,MATCH('SC-Retro'!$D$8&amp;'Input Assumptions'!$A$114&amp;"Dairy"&amp;'SC-Retro'!$D$7,[2]!rng_ForecastRowLookup,0),MATCH('Input Assumptions'!AE$6,[2]!rng_ForecastColumnLookup,0))*1000000-$F134)</f>
        <v>8379997976.7092953</v>
      </c>
      <c r="AF119" s="38">
        <f ca="1">(INDEX([2]!tbl_Forecast,MATCH('SC-Retro'!$D$8&amp;'Input Assumptions'!$A$114&amp;"Dairy"&amp;'SC-Retro'!$D$7,[2]!rng_ForecastRowLookup,0),MATCH('Input Assumptions'!AF$6,[2]!rng_ForecastColumnLookup,0))*1000000-$F134)</f>
        <v>8540059159.6037483</v>
      </c>
      <c r="AG119" s="38">
        <f ca="1">(INDEX([2]!tbl_Forecast,MATCH('SC-Retro'!$D$8&amp;'Input Assumptions'!$A$114&amp;"Dairy"&amp;'SC-Retro'!$D$7,[2]!rng_ForecastRowLookup,0),MATCH('Input Assumptions'!AG$6,[2]!rng_ForecastColumnLookup,0))*1000000-$F134)</f>
        <v>8659500778.1096687</v>
      </c>
    </row>
    <row r="120" spans="1:33">
      <c r="A120" s="48" t="s">
        <v>12</v>
      </c>
      <c r="B120" s="49">
        <f>C114</f>
        <v>23820</v>
      </c>
      <c r="C120" s="46"/>
      <c r="D120" s="46"/>
      <c r="E120" s="46"/>
      <c r="F120" s="49">
        <f>B120</f>
        <v>23820</v>
      </c>
      <c r="G120" s="51"/>
      <c r="H120" s="51"/>
      <c r="I120" s="51"/>
      <c r="J120" s="58"/>
      <c r="K120" s="182">
        <f t="shared" ref="K120:T129" si="56">$F120</f>
        <v>23820</v>
      </c>
      <c r="L120" s="49">
        <f t="shared" si="56"/>
        <v>23820</v>
      </c>
      <c r="M120" s="49">
        <f t="shared" si="56"/>
        <v>23820</v>
      </c>
      <c r="N120" s="49">
        <f t="shared" si="56"/>
        <v>23820</v>
      </c>
      <c r="O120" s="49">
        <f t="shared" si="56"/>
        <v>23820</v>
      </c>
      <c r="P120" s="49">
        <f t="shared" si="56"/>
        <v>23820</v>
      </c>
      <c r="Q120" s="49">
        <f t="shared" si="56"/>
        <v>23820</v>
      </c>
      <c r="R120" s="49">
        <f t="shared" si="56"/>
        <v>23820</v>
      </c>
      <c r="S120" s="49">
        <f t="shared" si="56"/>
        <v>23820</v>
      </c>
      <c r="T120" s="49">
        <f t="shared" si="56"/>
        <v>23820</v>
      </c>
      <c r="U120" s="49">
        <f t="shared" ref="U120:AG129" si="57">$F120</f>
        <v>23820</v>
      </c>
      <c r="V120" s="49">
        <f t="shared" si="57"/>
        <v>23820</v>
      </c>
      <c r="W120" s="49">
        <f t="shared" si="57"/>
        <v>23820</v>
      </c>
      <c r="X120" s="49">
        <f t="shared" si="57"/>
        <v>23820</v>
      </c>
      <c r="Y120" s="49">
        <f t="shared" si="57"/>
        <v>23820</v>
      </c>
      <c r="Z120" s="49">
        <f t="shared" si="57"/>
        <v>23820</v>
      </c>
      <c r="AA120" s="49">
        <f t="shared" si="57"/>
        <v>23820</v>
      </c>
      <c r="AB120" s="49">
        <f t="shared" si="57"/>
        <v>23820</v>
      </c>
      <c r="AC120" s="49">
        <f t="shared" si="57"/>
        <v>23820</v>
      </c>
      <c r="AD120" s="49">
        <f t="shared" si="57"/>
        <v>23820</v>
      </c>
      <c r="AE120" s="49">
        <f t="shared" si="57"/>
        <v>23820</v>
      </c>
      <c r="AF120" s="49">
        <f t="shared" si="57"/>
        <v>23820</v>
      </c>
      <c r="AG120" s="183">
        <f t="shared" si="57"/>
        <v>23820</v>
      </c>
    </row>
    <row r="121" spans="1:33" ht="13.5" thickBot="1">
      <c r="A121" s="48" t="s">
        <v>278</v>
      </c>
      <c r="B121" s="52">
        <f>('Input Assumptions'!B$9/'EUI by End Use'!AE$3)*'EUI by End Use'!AG$3</f>
        <v>25.592997262845305</v>
      </c>
      <c r="C121" s="46"/>
      <c r="D121" s="46"/>
      <c r="E121" s="46"/>
      <c r="F121" s="52">
        <f>SUM(F122:F129)</f>
        <v>23.656759364214729</v>
      </c>
      <c r="G121" s="52">
        <f t="shared" ref="G121:G131" si="58">B121-F121</f>
        <v>1.9362378986305764</v>
      </c>
      <c r="H121" s="46"/>
      <c r="I121" s="46"/>
      <c r="J121" s="57"/>
      <c r="K121" s="325">
        <f t="shared" si="56"/>
        <v>23.656759364214729</v>
      </c>
      <c r="L121" s="53">
        <f t="shared" si="56"/>
        <v>23.656759364214729</v>
      </c>
      <c r="M121" s="53">
        <f t="shared" si="56"/>
        <v>23.656759364214729</v>
      </c>
      <c r="N121" s="53">
        <f t="shared" si="56"/>
        <v>23.656759364214729</v>
      </c>
      <c r="O121" s="53">
        <f t="shared" si="56"/>
        <v>23.656759364214729</v>
      </c>
      <c r="P121" s="53">
        <f t="shared" si="56"/>
        <v>23.656759364214729</v>
      </c>
      <c r="Q121" s="53">
        <f t="shared" si="56"/>
        <v>23.656759364214729</v>
      </c>
      <c r="R121" s="53">
        <f t="shared" si="56"/>
        <v>23.656759364214729</v>
      </c>
      <c r="S121" s="53">
        <f t="shared" si="56"/>
        <v>23.656759364214729</v>
      </c>
      <c r="T121" s="53">
        <f t="shared" si="56"/>
        <v>23.656759364214729</v>
      </c>
      <c r="U121" s="53">
        <f t="shared" si="57"/>
        <v>23.656759364214729</v>
      </c>
      <c r="V121" s="53">
        <f t="shared" si="57"/>
        <v>23.656759364214729</v>
      </c>
      <c r="W121" s="53">
        <f t="shared" si="57"/>
        <v>23.656759364214729</v>
      </c>
      <c r="X121" s="53">
        <f t="shared" si="57"/>
        <v>23.656759364214729</v>
      </c>
      <c r="Y121" s="53">
        <f t="shared" si="57"/>
        <v>23.656759364214729</v>
      </c>
      <c r="Z121" s="53">
        <f t="shared" si="57"/>
        <v>23.656759364214729</v>
      </c>
      <c r="AA121" s="53">
        <f t="shared" si="57"/>
        <v>23.656759364214729</v>
      </c>
      <c r="AB121" s="53">
        <f t="shared" si="57"/>
        <v>23.656759364214729</v>
      </c>
      <c r="AC121" s="53">
        <f t="shared" si="57"/>
        <v>23.656759364214729</v>
      </c>
      <c r="AD121" s="53">
        <f t="shared" si="57"/>
        <v>23.656759364214729</v>
      </c>
      <c r="AE121" s="53">
        <f t="shared" si="57"/>
        <v>23.656759364214729</v>
      </c>
      <c r="AF121" s="53">
        <f t="shared" si="57"/>
        <v>23.656759364214729</v>
      </c>
      <c r="AG121" s="326">
        <f t="shared" si="57"/>
        <v>23.656759364214729</v>
      </c>
    </row>
    <row r="122" spans="1:33">
      <c r="A122" s="396" t="s">
        <v>271</v>
      </c>
      <c r="B122" s="397">
        <f>('Input Assumptions'!B$9/'EUI by End Use'!AE$3)*'EUI by End Use'!AH$3</f>
        <v>3.6882356967616712</v>
      </c>
      <c r="C122" s="238"/>
      <c r="D122" s="238"/>
      <c r="E122" s="238"/>
      <c r="F122" s="397">
        <f>('Input Assumptions'!$B$9/'EUI by End Use'!AE$3)*'EUI by End Use'!AW$3</f>
        <v>2.8519565503167708</v>
      </c>
      <c r="G122" s="398">
        <f t="shared" si="58"/>
        <v>0.83627914644490042</v>
      </c>
      <c r="H122" s="311"/>
      <c r="I122" s="311"/>
      <c r="J122" s="57"/>
      <c r="K122" s="327">
        <f t="shared" si="56"/>
        <v>2.8519565503167708</v>
      </c>
      <c r="L122" s="320">
        <f t="shared" si="56"/>
        <v>2.8519565503167708</v>
      </c>
      <c r="M122" s="320">
        <f t="shared" si="56"/>
        <v>2.8519565503167708</v>
      </c>
      <c r="N122" s="320">
        <f t="shared" si="56"/>
        <v>2.8519565503167708</v>
      </c>
      <c r="O122" s="320">
        <f t="shared" si="56"/>
        <v>2.8519565503167708</v>
      </c>
      <c r="P122" s="320">
        <f t="shared" si="56"/>
        <v>2.8519565503167708</v>
      </c>
      <c r="Q122" s="320">
        <f t="shared" si="56"/>
        <v>2.8519565503167708</v>
      </c>
      <c r="R122" s="320">
        <f t="shared" si="56"/>
        <v>2.8519565503167708</v>
      </c>
      <c r="S122" s="320">
        <f t="shared" si="56"/>
        <v>2.8519565503167708</v>
      </c>
      <c r="T122" s="320">
        <f t="shared" si="56"/>
        <v>2.8519565503167708</v>
      </c>
      <c r="U122" s="320">
        <f t="shared" si="57"/>
        <v>2.8519565503167708</v>
      </c>
      <c r="V122" s="320">
        <f t="shared" si="57"/>
        <v>2.8519565503167708</v>
      </c>
      <c r="W122" s="320">
        <f t="shared" si="57"/>
        <v>2.8519565503167708</v>
      </c>
      <c r="X122" s="320">
        <f t="shared" si="57"/>
        <v>2.8519565503167708</v>
      </c>
      <c r="Y122" s="320">
        <f t="shared" si="57"/>
        <v>2.8519565503167708</v>
      </c>
      <c r="Z122" s="320">
        <f t="shared" si="57"/>
        <v>2.8519565503167708</v>
      </c>
      <c r="AA122" s="320">
        <f t="shared" si="57"/>
        <v>2.8519565503167708</v>
      </c>
      <c r="AB122" s="320">
        <f t="shared" si="57"/>
        <v>2.8519565503167708</v>
      </c>
      <c r="AC122" s="320">
        <f t="shared" si="57"/>
        <v>2.8519565503167708</v>
      </c>
      <c r="AD122" s="320">
        <f t="shared" si="57"/>
        <v>2.8519565503167708</v>
      </c>
      <c r="AE122" s="320">
        <f t="shared" si="57"/>
        <v>2.8519565503167708</v>
      </c>
      <c r="AF122" s="320">
        <f t="shared" si="57"/>
        <v>2.8519565503167708</v>
      </c>
      <c r="AG122" s="328">
        <f t="shared" si="57"/>
        <v>2.8519565503167708</v>
      </c>
    </row>
    <row r="123" spans="1:33">
      <c r="A123" s="48" t="s">
        <v>272</v>
      </c>
      <c r="B123" s="52">
        <f>('Input Assumptions'!B$9/'EUI by End Use'!AE$3)*'EUI by End Use'!AI$3</f>
        <v>5.6284064145770918</v>
      </c>
      <c r="C123" s="46"/>
      <c r="D123" s="46"/>
      <c r="E123" s="46"/>
      <c r="F123" s="52">
        <f>('Input Assumptions'!$B$9/'EUI by End Use'!AE$3)*'EUI by End Use'!AX$3</f>
        <v>4.8102681496237576</v>
      </c>
      <c r="G123" s="332">
        <f t="shared" si="58"/>
        <v>0.81813826495333419</v>
      </c>
      <c r="H123" s="311"/>
      <c r="I123" s="311"/>
      <c r="J123" s="57"/>
      <c r="K123" s="327">
        <f t="shared" si="56"/>
        <v>4.8102681496237576</v>
      </c>
      <c r="L123" s="320">
        <f t="shared" si="56"/>
        <v>4.8102681496237576</v>
      </c>
      <c r="M123" s="320">
        <f t="shared" si="56"/>
        <v>4.8102681496237576</v>
      </c>
      <c r="N123" s="320">
        <f t="shared" si="56"/>
        <v>4.8102681496237576</v>
      </c>
      <c r="O123" s="320">
        <f t="shared" si="56"/>
        <v>4.8102681496237576</v>
      </c>
      <c r="P123" s="320">
        <f t="shared" si="56"/>
        <v>4.8102681496237576</v>
      </c>
      <c r="Q123" s="320">
        <f t="shared" si="56"/>
        <v>4.8102681496237576</v>
      </c>
      <c r="R123" s="320">
        <f t="shared" si="56"/>
        <v>4.8102681496237576</v>
      </c>
      <c r="S123" s="320">
        <f t="shared" si="56"/>
        <v>4.8102681496237576</v>
      </c>
      <c r="T123" s="320">
        <f t="shared" si="56"/>
        <v>4.8102681496237576</v>
      </c>
      <c r="U123" s="320">
        <f t="shared" si="57"/>
        <v>4.8102681496237576</v>
      </c>
      <c r="V123" s="320">
        <f t="shared" si="57"/>
        <v>4.8102681496237576</v>
      </c>
      <c r="W123" s="320">
        <f t="shared" si="57"/>
        <v>4.8102681496237576</v>
      </c>
      <c r="X123" s="320">
        <f t="shared" si="57"/>
        <v>4.8102681496237576</v>
      </c>
      <c r="Y123" s="320">
        <f t="shared" si="57"/>
        <v>4.8102681496237576</v>
      </c>
      <c r="Z123" s="320">
        <f t="shared" si="57"/>
        <v>4.8102681496237576</v>
      </c>
      <c r="AA123" s="320">
        <f t="shared" si="57"/>
        <v>4.8102681496237576</v>
      </c>
      <c r="AB123" s="320">
        <f t="shared" si="57"/>
        <v>4.8102681496237576</v>
      </c>
      <c r="AC123" s="320">
        <f t="shared" si="57"/>
        <v>4.8102681496237576</v>
      </c>
      <c r="AD123" s="320">
        <f t="shared" si="57"/>
        <v>4.8102681496237576</v>
      </c>
      <c r="AE123" s="320">
        <f t="shared" si="57"/>
        <v>4.8102681496237576</v>
      </c>
      <c r="AF123" s="320">
        <f t="shared" si="57"/>
        <v>4.8102681496237576</v>
      </c>
      <c r="AG123" s="328">
        <f t="shared" si="57"/>
        <v>4.8102681496237576</v>
      </c>
    </row>
    <row r="124" spans="1:33" ht="13.5" thickBot="1">
      <c r="A124" s="399" t="s">
        <v>273</v>
      </c>
      <c r="B124" s="400">
        <f>('Input Assumptions'!B$9/'EUI by End Use'!AE$3)*'EUI by End Use'!AJ$3</f>
        <v>5.6272274293947655</v>
      </c>
      <c r="C124" s="64"/>
      <c r="D124" s="64"/>
      <c r="E124" s="64"/>
      <c r="F124" s="400">
        <f>('Input Assumptions'!$B$9/'EUI by End Use'!AE$3)*'EUI by End Use'!AY$3</f>
        <v>5.3454069421624206</v>
      </c>
      <c r="G124" s="401">
        <f t="shared" si="58"/>
        <v>0.28182048723234487</v>
      </c>
      <c r="H124" s="311"/>
      <c r="I124" s="311"/>
      <c r="J124" s="57"/>
      <c r="K124" s="327">
        <f t="shared" si="56"/>
        <v>5.3454069421624206</v>
      </c>
      <c r="L124" s="320">
        <f t="shared" si="56"/>
        <v>5.3454069421624206</v>
      </c>
      <c r="M124" s="320">
        <f t="shared" si="56"/>
        <v>5.3454069421624206</v>
      </c>
      <c r="N124" s="320">
        <f t="shared" si="56"/>
        <v>5.3454069421624206</v>
      </c>
      <c r="O124" s="320">
        <f t="shared" si="56"/>
        <v>5.3454069421624206</v>
      </c>
      <c r="P124" s="320">
        <f t="shared" si="56"/>
        <v>5.3454069421624206</v>
      </c>
      <c r="Q124" s="320">
        <f t="shared" si="56"/>
        <v>5.3454069421624206</v>
      </c>
      <c r="R124" s="320">
        <f t="shared" si="56"/>
        <v>5.3454069421624206</v>
      </c>
      <c r="S124" s="320">
        <f t="shared" si="56"/>
        <v>5.3454069421624206</v>
      </c>
      <c r="T124" s="320">
        <f t="shared" si="56"/>
        <v>5.3454069421624206</v>
      </c>
      <c r="U124" s="320">
        <f t="shared" si="57"/>
        <v>5.3454069421624206</v>
      </c>
      <c r="V124" s="320">
        <f t="shared" si="57"/>
        <v>5.3454069421624206</v>
      </c>
      <c r="W124" s="320">
        <f t="shared" si="57"/>
        <v>5.3454069421624206</v>
      </c>
      <c r="X124" s="320">
        <f t="shared" si="57"/>
        <v>5.3454069421624206</v>
      </c>
      <c r="Y124" s="320">
        <f t="shared" si="57"/>
        <v>5.3454069421624206</v>
      </c>
      <c r="Z124" s="320">
        <f t="shared" si="57"/>
        <v>5.3454069421624206</v>
      </c>
      <c r="AA124" s="320">
        <f t="shared" si="57"/>
        <v>5.3454069421624206</v>
      </c>
      <c r="AB124" s="320">
        <f t="shared" si="57"/>
        <v>5.3454069421624206</v>
      </c>
      <c r="AC124" s="320">
        <f t="shared" si="57"/>
        <v>5.3454069421624206</v>
      </c>
      <c r="AD124" s="320">
        <f t="shared" si="57"/>
        <v>5.3454069421624206</v>
      </c>
      <c r="AE124" s="320">
        <f t="shared" si="57"/>
        <v>5.3454069421624206</v>
      </c>
      <c r="AF124" s="320">
        <f t="shared" si="57"/>
        <v>5.3454069421624206</v>
      </c>
      <c r="AG124" s="328">
        <f t="shared" si="57"/>
        <v>5.3454069421624206</v>
      </c>
    </row>
    <row r="125" spans="1:33">
      <c r="A125" s="48" t="s">
        <v>274</v>
      </c>
      <c r="B125" s="52">
        <f>('Input Assumptions'!B$9/'EUI by End Use'!AE$3)*'EUI by End Use'!AK$3</f>
        <v>4.7444343055011418</v>
      </c>
      <c r="C125" s="46"/>
      <c r="D125" s="46"/>
      <c r="E125" s="46"/>
      <c r="F125" s="52">
        <f>('Input Assumptions'!$B$9/'EUI by End Use'!AE$3)*'EUI by End Use'!AZ$3</f>
        <v>4.7444343055011418</v>
      </c>
      <c r="G125" s="52">
        <f t="shared" si="58"/>
        <v>0</v>
      </c>
      <c r="H125" s="46"/>
      <c r="I125" s="46"/>
      <c r="J125" s="57"/>
      <c r="K125" s="325">
        <f t="shared" si="56"/>
        <v>4.7444343055011418</v>
      </c>
      <c r="L125" s="53">
        <f t="shared" si="56"/>
        <v>4.7444343055011418</v>
      </c>
      <c r="M125" s="53">
        <f t="shared" si="56"/>
        <v>4.7444343055011418</v>
      </c>
      <c r="N125" s="53">
        <f t="shared" si="56"/>
        <v>4.7444343055011418</v>
      </c>
      <c r="O125" s="53">
        <f t="shared" si="56"/>
        <v>4.7444343055011418</v>
      </c>
      <c r="P125" s="53">
        <f t="shared" si="56"/>
        <v>4.7444343055011418</v>
      </c>
      <c r="Q125" s="53">
        <f t="shared" si="56"/>
        <v>4.7444343055011418</v>
      </c>
      <c r="R125" s="53">
        <f t="shared" si="56"/>
        <v>4.7444343055011418</v>
      </c>
      <c r="S125" s="53">
        <f t="shared" si="56"/>
        <v>4.7444343055011418</v>
      </c>
      <c r="T125" s="53">
        <f t="shared" si="56"/>
        <v>4.7444343055011418</v>
      </c>
      <c r="U125" s="53">
        <f t="shared" si="57"/>
        <v>4.7444343055011418</v>
      </c>
      <c r="V125" s="53">
        <f t="shared" si="57"/>
        <v>4.7444343055011418</v>
      </c>
      <c r="W125" s="53">
        <f t="shared" si="57"/>
        <v>4.7444343055011418</v>
      </c>
      <c r="X125" s="53">
        <f t="shared" si="57"/>
        <v>4.7444343055011418</v>
      </c>
      <c r="Y125" s="53">
        <f t="shared" si="57"/>
        <v>4.7444343055011418</v>
      </c>
      <c r="Z125" s="53">
        <f t="shared" si="57"/>
        <v>4.7444343055011418</v>
      </c>
      <c r="AA125" s="53">
        <f t="shared" si="57"/>
        <v>4.7444343055011418</v>
      </c>
      <c r="AB125" s="53">
        <f t="shared" si="57"/>
        <v>4.7444343055011418</v>
      </c>
      <c r="AC125" s="53">
        <f t="shared" si="57"/>
        <v>4.7444343055011418</v>
      </c>
      <c r="AD125" s="53">
        <f t="shared" si="57"/>
        <v>4.7444343055011418</v>
      </c>
      <c r="AE125" s="53">
        <f t="shared" si="57"/>
        <v>4.7444343055011418</v>
      </c>
      <c r="AF125" s="53">
        <f t="shared" si="57"/>
        <v>4.7444343055011418</v>
      </c>
      <c r="AG125" s="326">
        <f t="shared" si="57"/>
        <v>4.7444343055011418</v>
      </c>
    </row>
    <row r="126" spans="1:33">
      <c r="A126" s="48" t="s">
        <v>275</v>
      </c>
      <c r="B126" s="52">
        <f>('Input Assumptions'!B$9/'EUI by End Use'!AE$3)*'EUI by End Use'!AL$3</f>
        <v>0.30148458315655136</v>
      </c>
      <c r="C126" s="46"/>
      <c r="D126" s="46"/>
      <c r="E126" s="46"/>
      <c r="F126" s="52">
        <f>('Input Assumptions'!$B$9/'EUI by End Use'!AE$3)*'EUI by End Use'!BA$3</f>
        <v>0.30148458315655136</v>
      </c>
      <c r="G126" s="52">
        <f t="shared" si="58"/>
        <v>0</v>
      </c>
      <c r="H126" s="46"/>
      <c r="I126" s="46"/>
      <c r="J126" s="57"/>
      <c r="K126" s="325">
        <f t="shared" si="56"/>
        <v>0.30148458315655136</v>
      </c>
      <c r="L126" s="53">
        <f t="shared" si="56"/>
        <v>0.30148458315655136</v>
      </c>
      <c r="M126" s="53">
        <f t="shared" si="56"/>
        <v>0.30148458315655136</v>
      </c>
      <c r="N126" s="53">
        <f t="shared" si="56"/>
        <v>0.30148458315655136</v>
      </c>
      <c r="O126" s="53">
        <f t="shared" si="56"/>
        <v>0.30148458315655136</v>
      </c>
      <c r="P126" s="53">
        <f t="shared" si="56"/>
        <v>0.30148458315655136</v>
      </c>
      <c r="Q126" s="53">
        <f t="shared" si="56"/>
        <v>0.30148458315655136</v>
      </c>
      <c r="R126" s="53">
        <f t="shared" si="56"/>
        <v>0.30148458315655136</v>
      </c>
      <c r="S126" s="53">
        <f t="shared" si="56"/>
        <v>0.30148458315655136</v>
      </c>
      <c r="T126" s="53">
        <f t="shared" si="56"/>
        <v>0.30148458315655136</v>
      </c>
      <c r="U126" s="53">
        <f t="shared" si="57"/>
        <v>0.30148458315655136</v>
      </c>
      <c r="V126" s="53">
        <f t="shared" si="57"/>
        <v>0.30148458315655136</v>
      </c>
      <c r="W126" s="53">
        <f t="shared" si="57"/>
        <v>0.30148458315655136</v>
      </c>
      <c r="X126" s="53">
        <f t="shared" si="57"/>
        <v>0.30148458315655136</v>
      </c>
      <c r="Y126" s="53">
        <f t="shared" si="57"/>
        <v>0.30148458315655136</v>
      </c>
      <c r="Z126" s="53">
        <f t="shared" si="57"/>
        <v>0.30148458315655136</v>
      </c>
      <c r="AA126" s="53">
        <f t="shared" si="57"/>
        <v>0.30148458315655136</v>
      </c>
      <c r="AB126" s="53">
        <f t="shared" si="57"/>
        <v>0.30148458315655136</v>
      </c>
      <c r="AC126" s="53">
        <f t="shared" si="57"/>
        <v>0.30148458315655136</v>
      </c>
      <c r="AD126" s="53">
        <f t="shared" si="57"/>
        <v>0.30148458315655136</v>
      </c>
      <c r="AE126" s="53">
        <f t="shared" si="57"/>
        <v>0.30148458315655136</v>
      </c>
      <c r="AF126" s="53">
        <f t="shared" si="57"/>
        <v>0.30148458315655136</v>
      </c>
      <c r="AG126" s="326">
        <f t="shared" si="57"/>
        <v>0.30148458315655136</v>
      </c>
    </row>
    <row r="127" spans="1:33">
      <c r="A127" s="48" t="s">
        <v>276</v>
      </c>
      <c r="B127" s="52">
        <f>('Input Assumptions'!B$9/'EUI by End Use'!AE$3)*'EUI by End Use'!AM$3</f>
        <v>0.94135512510335062</v>
      </c>
      <c r="C127" s="46"/>
      <c r="D127" s="46"/>
      <c r="E127" s="46"/>
      <c r="F127" s="52">
        <f>('Input Assumptions'!$B$9/'EUI by End Use'!AE$3)*'EUI by End Use'!BB$3</f>
        <v>0.94135512510335062</v>
      </c>
      <c r="G127" s="52">
        <f t="shared" si="58"/>
        <v>0</v>
      </c>
      <c r="H127" s="46"/>
      <c r="I127" s="46"/>
      <c r="J127" s="57"/>
      <c r="K127" s="325">
        <f t="shared" si="56"/>
        <v>0.94135512510335062</v>
      </c>
      <c r="L127" s="53">
        <f t="shared" si="56"/>
        <v>0.94135512510335062</v>
      </c>
      <c r="M127" s="53">
        <f t="shared" si="56"/>
        <v>0.94135512510335062</v>
      </c>
      <c r="N127" s="53">
        <f t="shared" si="56"/>
        <v>0.94135512510335062</v>
      </c>
      <c r="O127" s="53">
        <f t="shared" si="56"/>
        <v>0.94135512510335062</v>
      </c>
      <c r="P127" s="53">
        <f t="shared" si="56"/>
        <v>0.94135512510335062</v>
      </c>
      <c r="Q127" s="53">
        <f t="shared" si="56"/>
        <v>0.94135512510335062</v>
      </c>
      <c r="R127" s="53">
        <f t="shared" si="56"/>
        <v>0.94135512510335062</v>
      </c>
      <c r="S127" s="53">
        <f t="shared" si="56"/>
        <v>0.94135512510335062</v>
      </c>
      <c r="T127" s="53">
        <f t="shared" si="56"/>
        <v>0.94135512510335062</v>
      </c>
      <c r="U127" s="53">
        <f t="shared" si="57"/>
        <v>0.94135512510335062</v>
      </c>
      <c r="V127" s="53">
        <f t="shared" si="57"/>
        <v>0.94135512510335062</v>
      </c>
      <c r="W127" s="53">
        <f t="shared" si="57"/>
        <v>0.94135512510335062</v>
      </c>
      <c r="X127" s="53">
        <f t="shared" si="57"/>
        <v>0.94135512510335062</v>
      </c>
      <c r="Y127" s="53">
        <f t="shared" si="57"/>
        <v>0.94135512510335062</v>
      </c>
      <c r="Z127" s="53">
        <f t="shared" si="57"/>
        <v>0.94135512510335062</v>
      </c>
      <c r="AA127" s="53">
        <f t="shared" si="57"/>
        <v>0.94135512510335062</v>
      </c>
      <c r="AB127" s="53">
        <f t="shared" si="57"/>
        <v>0.94135512510335062</v>
      </c>
      <c r="AC127" s="53">
        <f t="shared" si="57"/>
        <v>0.94135512510335062</v>
      </c>
      <c r="AD127" s="53">
        <f t="shared" si="57"/>
        <v>0.94135512510335062</v>
      </c>
      <c r="AE127" s="53">
        <f t="shared" si="57"/>
        <v>0.94135512510335062</v>
      </c>
      <c r="AF127" s="53">
        <f t="shared" si="57"/>
        <v>0.94135512510335062</v>
      </c>
      <c r="AG127" s="326">
        <f t="shared" si="57"/>
        <v>0.94135512510335062</v>
      </c>
    </row>
    <row r="128" spans="1:33">
      <c r="A128" s="48" t="s">
        <v>277</v>
      </c>
      <c r="B128" s="52">
        <f>('Input Assumptions'!B$9/'EUI by End Use'!AE$3)*'EUI by End Use'!AN$3</f>
        <v>0.57899359902870939</v>
      </c>
      <c r="C128" s="46"/>
      <c r="D128" s="46"/>
      <c r="E128" s="46"/>
      <c r="F128" s="52">
        <f>('Input Assumptions'!$B$9/'EUI by End Use'!AE$3)*'EUI by End Use'!BC$3</f>
        <v>0.57899359902870939</v>
      </c>
      <c r="G128" s="52">
        <f t="shared" si="58"/>
        <v>0</v>
      </c>
      <c r="H128" s="46"/>
      <c r="I128" s="46"/>
      <c r="J128" s="57"/>
      <c r="K128" s="325">
        <f t="shared" si="56"/>
        <v>0.57899359902870939</v>
      </c>
      <c r="L128" s="53">
        <f t="shared" si="56"/>
        <v>0.57899359902870939</v>
      </c>
      <c r="M128" s="53">
        <f t="shared" si="56"/>
        <v>0.57899359902870939</v>
      </c>
      <c r="N128" s="53">
        <f t="shared" si="56"/>
        <v>0.57899359902870939</v>
      </c>
      <c r="O128" s="53">
        <f t="shared" si="56"/>
        <v>0.57899359902870939</v>
      </c>
      <c r="P128" s="53">
        <f t="shared" si="56"/>
        <v>0.57899359902870939</v>
      </c>
      <c r="Q128" s="53">
        <f t="shared" si="56"/>
        <v>0.57899359902870939</v>
      </c>
      <c r="R128" s="53">
        <f t="shared" si="56"/>
        <v>0.57899359902870939</v>
      </c>
      <c r="S128" s="53">
        <f t="shared" si="56"/>
        <v>0.57899359902870939</v>
      </c>
      <c r="T128" s="53">
        <f t="shared" si="56"/>
        <v>0.57899359902870939</v>
      </c>
      <c r="U128" s="53">
        <f t="shared" si="57"/>
        <v>0.57899359902870939</v>
      </c>
      <c r="V128" s="53">
        <f t="shared" si="57"/>
        <v>0.57899359902870939</v>
      </c>
      <c r="W128" s="53">
        <f t="shared" si="57"/>
        <v>0.57899359902870939</v>
      </c>
      <c r="X128" s="53">
        <f t="shared" si="57"/>
        <v>0.57899359902870939</v>
      </c>
      <c r="Y128" s="53">
        <f t="shared" si="57"/>
        <v>0.57899359902870939</v>
      </c>
      <c r="Z128" s="53">
        <f t="shared" si="57"/>
        <v>0.57899359902870939</v>
      </c>
      <c r="AA128" s="53">
        <f t="shared" si="57"/>
        <v>0.57899359902870939</v>
      </c>
      <c r="AB128" s="53">
        <f t="shared" si="57"/>
        <v>0.57899359902870939</v>
      </c>
      <c r="AC128" s="53">
        <f t="shared" si="57"/>
        <v>0.57899359902870939</v>
      </c>
      <c r="AD128" s="53">
        <f t="shared" si="57"/>
        <v>0.57899359902870939</v>
      </c>
      <c r="AE128" s="53">
        <f t="shared" si="57"/>
        <v>0.57899359902870939</v>
      </c>
      <c r="AF128" s="53">
        <f t="shared" si="57"/>
        <v>0.57899359902870939</v>
      </c>
      <c r="AG128" s="326">
        <f t="shared" si="57"/>
        <v>0.57899359902870939</v>
      </c>
    </row>
    <row r="129" spans="1:33">
      <c r="A129" s="48" t="s">
        <v>76</v>
      </c>
      <c r="B129" s="52">
        <f>B121-(SUM(B122:B128))</f>
        <v>4.0828601093220271</v>
      </c>
      <c r="C129" s="46"/>
      <c r="D129" s="46"/>
      <c r="E129" s="46"/>
      <c r="F129" s="52">
        <f>B129</f>
        <v>4.0828601093220271</v>
      </c>
      <c r="G129" s="52">
        <f t="shared" si="58"/>
        <v>0</v>
      </c>
      <c r="H129" s="46"/>
      <c r="I129" s="46"/>
      <c r="J129" s="57"/>
      <c r="K129" s="325">
        <f t="shared" si="56"/>
        <v>4.0828601093220271</v>
      </c>
      <c r="L129" s="53">
        <f t="shared" si="56"/>
        <v>4.0828601093220271</v>
      </c>
      <c r="M129" s="53">
        <f t="shared" si="56"/>
        <v>4.0828601093220271</v>
      </c>
      <c r="N129" s="53">
        <f t="shared" si="56"/>
        <v>4.0828601093220271</v>
      </c>
      <c r="O129" s="53">
        <f t="shared" si="56"/>
        <v>4.0828601093220271</v>
      </c>
      <c r="P129" s="53">
        <f t="shared" si="56"/>
        <v>4.0828601093220271</v>
      </c>
      <c r="Q129" s="53">
        <f t="shared" si="56"/>
        <v>4.0828601093220271</v>
      </c>
      <c r="R129" s="53">
        <f t="shared" si="56"/>
        <v>4.0828601093220271</v>
      </c>
      <c r="S129" s="53">
        <f t="shared" si="56"/>
        <v>4.0828601093220271</v>
      </c>
      <c r="T129" s="53">
        <f t="shared" si="56"/>
        <v>4.0828601093220271</v>
      </c>
      <c r="U129" s="53">
        <f t="shared" si="57"/>
        <v>4.0828601093220271</v>
      </c>
      <c r="V129" s="53">
        <f t="shared" si="57"/>
        <v>4.0828601093220271</v>
      </c>
      <c r="W129" s="53">
        <f t="shared" si="57"/>
        <v>4.0828601093220271</v>
      </c>
      <c r="X129" s="53">
        <f t="shared" si="57"/>
        <v>4.0828601093220271</v>
      </c>
      <c r="Y129" s="53">
        <f t="shared" si="57"/>
        <v>4.0828601093220271</v>
      </c>
      <c r="Z129" s="53">
        <f t="shared" si="57"/>
        <v>4.0828601093220271</v>
      </c>
      <c r="AA129" s="53">
        <f t="shared" si="57"/>
        <v>4.0828601093220271</v>
      </c>
      <c r="AB129" s="53">
        <f t="shared" si="57"/>
        <v>4.0828601093220271</v>
      </c>
      <c r="AC129" s="53">
        <f t="shared" si="57"/>
        <v>4.0828601093220271</v>
      </c>
      <c r="AD129" s="53">
        <f t="shared" si="57"/>
        <v>4.0828601093220271</v>
      </c>
      <c r="AE129" s="53">
        <f t="shared" si="57"/>
        <v>4.0828601093220271</v>
      </c>
      <c r="AF129" s="53">
        <f t="shared" si="57"/>
        <v>4.0828601093220271</v>
      </c>
      <c r="AG129" s="326">
        <f t="shared" si="57"/>
        <v>4.0828601093220271</v>
      </c>
    </row>
    <row r="130" spans="1:33">
      <c r="A130" s="48" t="s">
        <v>21</v>
      </c>
      <c r="B130" s="49">
        <f>(B119/1000)*B121</f>
        <v>159412573.61319938</v>
      </c>
      <c r="C130" s="46"/>
      <c r="D130" s="46"/>
      <c r="E130" s="46"/>
      <c r="F130" s="49">
        <f>(F119/1000)*F121</f>
        <v>147352217.28298512</v>
      </c>
      <c r="G130" s="38">
        <f t="shared" si="58"/>
        <v>12060356.330214262</v>
      </c>
      <c r="H130" s="46"/>
      <c r="I130" s="46"/>
      <c r="J130" s="57"/>
      <c r="K130" s="182">
        <f t="shared" ref="K130:AF130" si="59">(K119/1000)*K121</f>
        <v>147349378.47186139</v>
      </c>
      <c r="L130" s="49">
        <f t="shared" si="59"/>
        <v>144061870.01350918</v>
      </c>
      <c r="M130" s="49">
        <f t="shared" si="59"/>
        <v>146551800.19275793</v>
      </c>
      <c r="N130" s="49">
        <f t="shared" ca="1" si="59"/>
        <v>149275432.86423695</v>
      </c>
      <c r="O130" s="49">
        <f t="shared" ca="1" si="59"/>
        <v>151884014.89357531</v>
      </c>
      <c r="P130" s="49">
        <f t="shared" ca="1" si="59"/>
        <v>154732058.16713133</v>
      </c>
      <c r="Q130" s="49">
        <f t="shared" ca="1" si="59"/>
        <v>157156923.00586402</v>
      </c>
      <c r="R130" s="49">
        <f t="shared" ca="1" si="59"/>
        <v>159721738.29511952</v>
      </c>
      <c r="S130" s="49">
        <f t="shared" ca="1" si="59"/>
        <v>161896980.34673548</v>
      </c>
      <c r="T130" s="49">
        <f t="shared" ca="1" si="59"/>
        <v>164630771.57432973</v>
      </c>
      <c r="U130" s="49">
        <f t="shared" ca="1" si="59"/>
        <v>166705253.50323725</v>
      </c>
      <c r="V130" s="49">
        <f t="shared" ca="1" si="59"/>
        <v>169221460.43700948</v>
      </c>
      <c r="W130" s="49">
        <f t="shared" ca="1" si="59"/>
        <v>172098675.04652774</v>
      </c>
      <c r="X130" s="49">
        <f t="shared" ca="1" si="59"/>
        <v>175255186.52854574</v>
      </c>
      <c r="Y130" s="49">
        <f t="shared" ca="1" si="59"/>
        <v>178632640.80705529</v>
      </c>
      <c r="Z130" s="49">
        <f t="shared" ca="1" si="59"/>
        <v>181760599.10099858</v>
      </c>
      <c r="AA130" s="49">
        <f t="shared" ca="1" si="59"/>
        <v>184962527.26904207</v>
      </c>
      <c r="AB130" s="49">
        <f t="shared" ca="1" si="59"/>
        <v>188042776.85006952</v>
      </c>
      <c r="AC130" s="49">
        <f t="shared" ca="1" si="59"/>
        <v>191737533.70059976</v>
      </c>
      <c r="AD130" s="49">
        <f t="shared" ca="1" si="59"/>
        <v>195222048.85809934</v>
      </c>
      <c r="AE130" s="49">
        <f t="shared" ca="1" si="59"/>
        <v>198243595.60761809</v>
      </c>
      <c r="AF130" s="49">
        <f t="shared" ca="1" si="59"/>
        <v>202030124.49490374</v>
      </c>
      <c r="AG130" s="183">
        <f t="shared" ref="AG130" ca="1" si="60">(AG119/1000)*AG121</f>
        <v>204855726.12197062</v>
      </c>
    </row>
    <row r="131" spans="1:33" ht="13.5" thickBot="1">
      <c r="A131" s="48" t="s">
        <v>22</v>
      </c>
      <c r="B131" s="54">
        <f>B130/8760000</f>
        <v>18.197782375936004</v>
      </c>
      <c r="C131" s="46"/>
      <c r="D131" s="46"/>
      <c r="E131" s="46"/>
      <c r="F131" s="54">
        <f>F130/8760000</f>
        <v>16.821029370203782</v>
      </c>
      <c r="G131" s="55">
        <f t="shared" si="58"/>
        <v>1.3767530057322226</v>
      </c>
      <c r="H131" s="46"/>
      <c r="I131" s="46"/>
      <c r="J131" s="57"/>
      <c r="K131" s="329">
        <f t="shared" ref="K131:AF131" si="61">K130/8760000</f>
        <v>16.820705305007007</v>
      </c>
      <c r="L131" s="56">
        <f t="shared" si="61"/>
        <v>16.445418951313833</v>
      </c>
      <c r="M131" s="56">
        <f t="shared" si="61"/>
        <v>16.729657556250906</v>
      </c>
      <c r="N131" s="56">
        <f t="shared" ca="1" si="61"/>
        <v>17.040574527880931</v>
      </c>
      <c r="O131" s="56">
        <f t="shared" ca="1" si="61"/>
        <v>17.338357864563392</v>
      </c>
      <c r="P131" s="56">
        <f t="shared" ca="1" si="61"/>
        <v>17.663476959718189</v>
      </c>
      <c r="Q131" s="56">
        <f t="shared" ca="1" si="61"/>
        <v>17.94028801436804</v>
      </c>
      <c r="R131" s="56">
        <f t="shared" ca="1" si="61"/>
        <v>18.233075147844694</v>
      </c>
      <c r="S131" s="56">
        <f t="shared" ca="1" si="61"/>
        <v>18.48139045054058</v>
      </c>
      <c r="T131" s="56">
        <f t="shared" ca="1" si="61"/>
        <v>18.793467074695176</v>
      </c>
      <c r="U131" s="56">
        <f t="shared" ca="1" si="61"/>
        <v>19.030280080278224</v>
      </c>
      <c r="V131" s="56">
        <f t="shared" ca="1" si="61"/>
        <v>19.31751831472711</v>
      </c>
      <c r="W131" s="56">
        <f t="shared" ca="1" si="61"/>
        <v>19.645967471064811</v>
      </c>
      <c r="X131" s="56">
        <f t="shared" ca="1" si="61"/>
        <v>20.006299832025768</v>
      </c>
      <c r="Y131" s="56">
        <f t="shared" ca="1" si="61"/>
        <v>20.391853973408139</v>
      </c>
      <c r="Z131" s="56">
        <f t="shared" ca="1" si="61"/>
        <v>20.748926838013535</v>
      </c>
      <c r="AA131" s="56">
        <f t="shared" ca="1" si="61"/>
        <v>21.114443752173752</v>
      </c>
      <c r="AB131" s="56">
        <f t="shared" ca="1" si="61"/>
        <v>21.466070416674604</v>
      </c>
      <c r="AC131" s="56">
        <f t="shared" ca="1" si="61"/>
        <v>21.887846312853853</v>
      </c>
      <c r="AD131" s="56">
        <f t="shared" ca="1" si="61"/>
        <v>22.285622015764766</v>
      </c>
      <c r="AE131" s="56">
        <f t="shared" ca="1" si="61"/>
        <v>22.630547443792018</v>
      </c>
      <c r="AF131" s="56">
        <f t="shared" ca="1" si="61"/>
        <v>23.062799599874857</v>
      </c>
      <c r="AG131" s="330">
        <f t="shared" ref="AG131" ca="1" si="62">AG130/8760000</f>
        <v>23.385356863238655</v>
      </c>
    </row>
    <row r="132" spans="1:33" ht="13.5" thickBot="1">
      <c r="A132" s="667" t="s">
        <v>23</v>
      </c>
      <c r="B132" s="668"/>
      <c r="C132" s="668"/>
      <c r="D132" s="668"/>
      <c r="E132" s="668"/>
      <c r="F132" s="668"/>
      <c r="G132" s="668"/>
      <c r="H132" s="668"/>
      <c r="I132" s="668"/>
      <c r="J132" s="669"/>
      <c r="K132" s="343">
        <v>2013</v>
      </c>
      <c r="L132" s="344">
        <v>2014</v>
      </c>
      <c r="M132" s="344">
        <v>2015</v>
      </c>
      <c r="N132" s="344">
        <v>2016</v>
      </c>
      <c r="O132" s="344">
        <v>2017</v>
      </c>
      <c r="P132" s="344">
        <v>2018</v>
      </c>
      <c r="Q132" s="344">
        <v>2019</v>
      </c>
      <c r="R132" s="344">
        <v>2020</v>
      </c>
      <c r="S132" s="344">
        <v>2021</v>
      </c>
      <c r="T132" s="344">
        <v>2022</v>
      </c>
      <c r="U132" s="344">
        <v>2023</v>
      </c>
      <c r="V132" s="344">
        <v>2024</v>
      </c>
      <c r="W132" s="344">
        <v>2025</v>
      </c>
      <c r="X132" s="344">
        <v>2026</v>
      </c>
      <c r="Y132" s="344">
        <v>2027</v>
      </c>
      <c r="Z132" s="344">
        <v>2028</v>
      </c>
      <c r="AA132" s="344">
        <v>2029</v>
      </c>
      <c r="AB132" s="344">
        <v>2030</v>
      </c>
      <c r="AC132" s="344">
        <v>2031</v>
      </c>
      <c r="AD132" s="344">
        <v>2032</v>
      </c>
      <c r="AE132" s="344">
        <v>2033</v>
      </c>
      <c r="AF132" s="344">
        <v>2034</v>
      </c>
      <c r="AG132" s="344">
        <v>2035</v>
      </c>
    </row>
    <row r="133" spans="1:33">
      <c r="A133" s="44" t="s">
        <v>9</v>
      </c>
      <c r="B133" s="45">
        <f>C116*B114</f>
        <v>4524</v>
      </c>
      <c r="C133" s="46"/>
      <c r="D133" s="46"/>
      <c r="E133" s="46"/>
      <c r="F133" s="45">
        <f>B133</f>
        <v>4524</v>
      </c>
      <c r="G133" s="46"/>
      <c r="H133" s="46"/>
      <c r="I133" s="46"/>
      <c r="J133" s="57"/>
      <c r="K133" s="182">
        <f t="shared" ref="K133:T146" si="63">$F133</f>
        <v>4524</v>
      </c>
      <c r="L133" s="49">
        <f t="shared" si="63"/>
        <v>4524</v>
      </c>
      <c r="M133" s="49">
        <f t="shared" si="63"/>
        <v>4524</v>
      </c>
      <c r="N133" s="49">
        <f t="shared" si="63"/>
        <v>4524</v>
      </c>
      <c r="O133" s="49">
        <f t="shared" si="63"/>
        <v>4524</v>
      </c>
      <c r="P133" s="49">
        <f t="shared" si="63"/>
        <v>4524</v>
      </c>
      <c r="Q133" s="49">
        <f t="shared" si="63"/>
        <v>4524</v>
      </c>
      <c r="R133" s="49">
        <f t="shared" si="63"/>
        <v>4524</v>
      </c>
      <c r="S133" s="49">
        <f t="shared" si="63"/>
        <v>4524</v>
      </c>
      <c r="T133" s="49">
        <f t="shared" si="63"/>
        <v>4524</v>
      </c>
      <c r="U133" s="49">
        <f t="shared" ref="U133:AG146" si="64">$F133</f>
        <v>4524</v>
      </c>
      <c r="V133" s="49">
        <f t="shared" si="64"/>
        <v>4524</v>
      </c>
      <c r="W133" s="49">
        <f t="shared" si="64"/>
        <v>4524</v>
      </c>
      <c r="X133" s="49">
        <f t="shared" si="64"/>
        <v>4524</v>
      </c>
      <c r="Y133" s="49">
        <f t="shared" si="64"/>
        <v>4524</v>
      </c>
      <c r="Z133" s="49">
        <f t="shared" si="64"/>
        <v>4524</v>
      </c>
      <c r="AA133" s="49">
        <f t="shared" si="64"/>
        <v>4524</v>
      </c>
      <c r="AB133" s="49">
        <f t="shared" si="64"/>
        <v>4524</v>
      </c>
      <c r="AC133" s="49">
        <f t="shared" si="64"/>
        <v>4524</v>
      </c>
      <c r="AD133" s="49">
        <f t="shared" si="64"/>
        <v>4524</v>
      </c>
      <c r="AE133" s="49">
        <f t="shared" si="64"/>
        <v>4524</v>
      </c>
      <c r="AF133" s="49">
        <f t="shared" si="64"/>
        <v>4524</v>
      </c>
      <c r="AG133" s="183">
        <f t="shared" si="64"/>
        <v>4524</v>
      </c>
    </row>
    <row r="134" spans="1:33">
      <c r="A134" s="48" t="s">
        <v>3</v>
      </c>
      <c r="B134" s="49">
        <f>D114*C116</f>
        <v>107362501.37646121</v>
      </c>
      <c r="C134" s="46"/>
      <c r="D134" s="46"/>
      <c r="E134" s="46"/>
      <c r="F134" s="49">
        <f>B134</f>
        <v>107362501.37646121</v>
      </c>
      <c r="G134" s="46"/>
      <c r="H134" s="46"/>
      <c r="I134" s="46"/>
      <c r="J134" s="57"/>
      <c r="K134" s="182">
        <f t="shared" si="63"/>
        <v>107362501.37646121</v>
      </c>
      <c r="L134" s="49">
        <f t="shared" si="63"/>
        <v>107362501.37646121</v>
      </c>
      <c r="M134" s="49">
        <f t="shared" si="63"/>
        <v>107362501.37646121</v>
      </c>
      <c r="N134" s="49">
        <f t="shared" si="63"/>
        <v>107362501.37646121</v>
      </c>
      <c r="O134" s="49">
        <f t="shared" si="63"/>
        <v>107362501.37646121</v>
      </c>
      <c r="P134" s="49">
        <f t="shared" si="63"/>
        <v>107362501.37646121</v>
      </c>
      <c r="Q134" s="49">
        <f t="shared" si="63"/>
        <v>107362501.37646121</v>
      </c>
      <c r="R134" s="49">
        <f t="shared" si="63"/>
        <v>107362501.37646121</v>
      </c>
      <c r="S134" s="49">
        <f t="shared" si="63"/>
        <v>107362501.37646121</v>
      </c>
      <c r="T134" s="49">
        <f t="shared" si="63"/>
        <v>107362501.37646121</v>
      </c>
      <c r="U134" s="49">
        <f t="shared" si="64"/>
        <v>107362501.37646121</v>
      </c>
      <c r="V134" s="49">
        <f t="shared" si="64"/>
        <v>107362501.37646121</v>
      </c>
      <c r="W134" s="49">
        <f t="shared" si="64"/>
        <v>107362501.37646121</v>
      </c>
      <c r="X134" s="49">
        <f t="shared" si="64"/>
        <v>107362501.37646121</v>
      </c>
      <c r="Y134" s="49">
        <f t="shared" si="64"/>
        <v>107362501.37646121</v>
      </c>
      <c r="Z134" s="49">
        <f t="shared" si="64"/>
        <v>107362501.37646121</v>
      </c>
      <c r="AA134" s="49">
        <f t="shared" si="64"/>
        <v>107362501.37646121</v>
      </c>
      <c r="AB134" s="49">
        <f t="shared" si="64"/>
        <v>107362501.37646121</v>
      </c>
      <c r="AC134" s="49">
        <f t="shared" si="64"/>
        <v>107362501.37646121</v>
      </c>
      <c r="AD134" s="49">
        <f t="shared" si="64"/>
        <v>107362501.37646121</v>
      </c>
      <c r="AE134" s="49">
        <f t="shared" si="64"/>
        <v>107362501.37646121</v>
      </c>
      <c r="AF134" s="49">
        <f t="shared" si="64"/>
        <v>107362501.37646121</v>
      </c>
      <c r="AG134" s="183">
        <f t="shared" si="64"/>
        <v>107362501.37646121</v>
      </c>
    </row>
    <row r="135" spans="1:33">
      <c r="A135" s="48" t="s">
        <v>12</v>
      </c>
      <c r="B135" s="49">
        <f>C114</f>
        <v>23820</v>
      </c>
      <c r="C135" s="46"/>
      <c r="D135" s="46"/>
      <c r="E135" s="46"/>
      <c r="F135" s="49">
        <f>B135</f>
        <v>23820</v>
      </c>
      <c r="G135" s="46"/>
      <c r="H135" s="46"/>
      <c r="I135" s="46"/>
      <c r="J135" s="57"/>
      <c r="K135" s="182">
        <f t="shared" si="63"/>
        <v>23820</v>
      </c>
      <c r="L135" s="49">
        <f t="shared" si="63"/>
        <v>23820</v>
      </c>
      <c r="M135" s="49">
        <f t="shared" si="63"/>
        <v>23820</v>
      </c>
      <c r="N135" s="49">
        <f t="shared" si="63"/>
        <v>23820</v>
      </c>
      <c r="O135" s="49">
        <f t="shared" si="63"/>
        <v>23820</v>
      </c>
      <c r="P135" s="49">
        <f t="shared" si="63"/>
        <v>23820</v>
      </c>
      <c r="Q135" s="49">
        <f t="shared" si="63"/>
        <v>23820</v>
      </c>
      <c r="R135" s="49">
        <f t="shared" si="63"/>
        <v>23820</v>
      </c>
      <c r="S135" s="49">
        <f t="shared" si="63"/>
        <v>23820</v>
      </c>
      <c r="T135" s="49">
        <f t="shared" si="63"/>
        <v>23820</v>
      </c>
      <c r="U135" s="49">
        <f t="shared" si="64"/>
        <v>23820</v>
      </c>
      <c r="V135" s="49">
        <f t="shared" si="64"/>
        <v>23820</v>
      </c>
      <c r="W135" s="49">
        <f t="shared" si="64"/>
        <v>23820</v>
      </c>
      <c r="X135" s="49">
        <f t="shared" si="64"/>
        <v>23820</v>
      </c>
      <c r="Y135" s="49">
        <f t="shared" si="64"/>
        <v>23820</v>
      </c>
      <c r="Z135" s="49">
        <f t="shared" si="64"/>
        <v>23820</v>
      </c>
      <c r="AA135" s="49">
        <f t="shared" si="64"/>
        <v>23820</v>
      </c>
      <c r="AB135" s="49">
        <f t="shared" si="64"/>
        <v>23820</v>
      </c>
      <c r="AC135" s="49">
        <f t="shared" si="64"/>
        <v>23820</v>
      </c>
      <c r="AD135" s="49">
        <f t="shared" si="64"/>
        <v>23820</v>
      </c>
      <c r="AE135" s="49">
        <f t="shared" si="64"/>
        <v>23820</v>
      </c>
      <c r="AF135" s="49">
        <f t="shared" si="64"/>
        <v>23820</v>
      </c>
      <c r="AG135" s="183">
        <f t="shared" si="64"/>
        <v>23820</v>
      </c>
    </row>
    <row r="136" spans="1:33" ht="13.5" thickBot="1">
      <c r="A136" s="48" t="s">
        <v>278</v>
      </c>
      <c r="B136" s="52">
        <f>('Input Assumptions'!B$24/'EUI by End Use'!AE$4)*'EUI by End Use'!AG$4</f>
        <v>51.879078573836971</v>
      </c>
      <c r="C136" s="46"/>
      <c r="D136" s="46"/>
      <c r="E136" s="46"/>
      <c r="F136" s="52">
        <f>SUM(F137:F144)</f>
        <v>42.706424855778785</v>
      </c>
      <c r="G136" s="52">
        <f t="shared" ref="G136:G146" si="65">B136-F136</f>
        <v>9.1726537180581857</v>
      </c>
      <c r="H136" s="51"/>
      <c r="I136" s="51"/>
      <c r="J136" s="58"/>
      <c r="K136" s="331">
        <f t="shared" si="63"/>
        <v>42.706424855778785</v>
      </c>
      <c r="L136" s="52">
        <f t="shared" si="63"/>
        <v>42.706424855778785</v>
      </c>
      <c r="M136" s="52">
        <f t="shared" si="63"/>
        <v>42.706424855778785</v>
      </c>
      <c r="N136" s="52">
        <f t="shared" si="63"/>
        <v>42.706424855778785</v>
      </c>
      <c r="O136" s="52">
        <f t="shared" si="63"/>
        <v>42.706424855778785</v>
      </c>
      <c r="P136" s="52">
        <f t="shared" si="63"/>
        <v>42.706424855778785</v>
      </c>
      <c r="Q136" s="52">
        <f t="shared" si="63"/>
        <v>42.706424855778785</v>
      </c>
      <c r="R136" s="52">
        <f t="shared" si="63"/>
        <v>42.706424855778785</v>
      </c>
      <c r="S136" s="52">
        <f t="shared" si="63"/>
        <v>42.706424855778785</v>
      </c>
      <c r="T136" s="52">
        <f t="shared" si="63"/>
        <v>42.706424855778785</v>
      </c>
      <c r="U136" s="52">
        <f t="shared" si="64"/>
        <v>42.706424855778785</v>
      </c>
      <c r="V136" s="52">
        <f t="shared" si="64"/>
        <v>42.706424855778785</v>
      </c>
      <c r="W136" s="52">
        <f t="shared" si="64"/>
        <v>42.706424855778785</v>
      </c>
      <c r="X136" s="52">
        <f t="shared" si="64"/>
        <v>42.706424855778785</v>
      </c>
      <c r="Y136" s="52">
        <f t="shared" si="64"/>
        <v>42.706424855778785</v>
      </c>
      <c r="Z136" s="52">
        <f t="shared" si="64"/>
        <v>42.706424855778785</v>
      </c>
      <c r="AA136" s="52">
        <f t="shared" si="64"/>
        <v>42.706424855778785</v>
      </c>
      <c r="AB136" s="52">
        <f t="shared" si="64"/>
        <v>42.706424855778785</v>
      </c>
      <c r="AC136" s="52">
        <f t="shared" si="64"/>
        <v>42.706424855778785</v>
      </c>
      <c r="AD136" s="52">
        <f t="shared" si="64"/>
        <v>42.706424855778785</v>
      </c>
      <c r="AE136" s="52">
        <f t="shared" si="64"/>
        <v>42.706424855778785</v>
      </c>
      <c r="AF136" s="52">
        <f t="shared" si="64"/>
        <v>42.706424855778785</v>
      </c>
      <c r="AG136" s="332">
        <f t="shared" si="64"/>
        <v>42.706424855778785</v>
      </c>
    </row>
    <row r="137" spans="1:33">
      <c r="A137" s="396" t="s">
        <v>271</v>
      </c>
      <c r="B137" s="397">
        <f>('Input Assumptions'!B$24/'EUI by End Use'!AE$4)*'EUI by End Use'!AH$4</f>
        <v>7.8361609779351626</v>
      </c>
      <c r="C137" s="238"/>
      <c r="D137" s="238"/>
      <c r="E137" s="238"/>
      <c r="F137" s="397">
        <f>('Input Assumptions'!$B$24/'EUI by End Use'!AE$4)*'EUI by End Use'!AW$4</f>
        <v>3.0793174969152783</v>
      </c>
      <c r="G137" s="398">
        <f t="shared" si="65"/>
        <v>4.7568434810198843</v>
      </c>
      <c r="H137" s="311"/>
      <c r="I137" s="311"/>
      <c r="J137" s="57"/>
      <c r="K137" s="327">
        <f t="shared" si="63"/>
        <v>3.0793174969152783</v>
      </c>
      <c r="L137" s="320">
        <f t="shared" si="63"/>
        <v>3.0793174969152783</v>
      </c>
      <c r="M137" s="320">
        <f t="shared" si="63"/>
        <v>3.0793174969152783</v>
      </c>
      <c r="N137" s="320">
        <f t="shared" si="63"/>
        <v>3.0793174969152783</v>
      </c>
      <c r="O137" s="320">
        <f t="shared" si="63"/>
        <v>3.0793174969152783</v>
      </c>
      <c r="P137" s="320">
        <f t="shared" si="63"/>
        <v>3.0793174969152783</v>
      </c>
      <c r="Q137" s="320">
        <f t="shared" si="63"/>
        <v>3.0793174969152783</v>
      </c>
      <c r="R137" s="320">
        <f t="shared" si="63"/>
        <v>3.0793174969152783</v>
      </c>
      <c r="S137" s="320">
        <f t="shared" si="63"/>
        <v>3.0793174969152783</v>
      </c>
      <c r="T137" s="320">
        <f t="shared" si="63"/>
        <v>3.0793174969152783</v>
      </c>
      <c r="U137" s="320">
        <f t="shared" si="64"/>
        <v>3.0793174969152783</v>
      </c>
      <c r="V137" s="320">
        <f t="shared" si="64"/>
        <v>3.0793174969152783</v>
      </c>
      <c r="W137" s="320">
        <f t="shared" si="64"/>
        <v>3.0793174969152783</v>
      </c>
      <c r="X137" s="320">
        <f t="shared" si="64"/>
        <v>3.0793174969152783</v>
      </c>
      <c r="Y137" s="320">
        <f t="shared" si="64"/>
        <v>3.0793174969152783</v>
      </c>
      <c r="Z137" s="320">
        <f t="shared" si="64"/>
        <v>3.0793174969152783</v>
      </c>
      <c r="AA137" s="320">
        <f t="shared" si="64"/>
        <v>3.0793174969152783</v>
      </c>
      <c r="AB137" s="320">
        <f t="shared" si="64"/>
        <v>3.0793174969152783</v>
      </c>
      <c r="AC137" s="320">
        <f t="shared" si="64"/>
        <v>3.0793174969152783</v>
      </c>
      <c r="AD137" s="320">
        <f t="shared" si="64"/>
        <v>3.0793174969152783</v>
      </c>
      <c r="AE137" s="320">
        <f t="shared" si="64"/>
        <v>3.0793174969152783</v>
      </c>
      <c r="AF137" s="320">
        <f t="shared" si="64"/>
        <v>3.0793174969152783</v>
      </c>
      <c r="AG137" s="328">
        <f t="shared" si="64"/>
        <v>3.0793174969152783</v>
      </c>
    </row>
    <row r="138" spans="1:33">
      <c r="A138" s="48" t="s">
        <v>272</v>
      </c>
      <c r="B138" s="52">
        <f>('Input Assumptions'!B$24/'EUI by End Use'!AE$4)*'EUI by End Use'!AI$4</f>
        <v>10.108363039033851</v>
      </c>
      <c r="C138" s="46"/>
      <c r="D138" s="46"/>
      <c r="E138" s="46"/>
      <c r="F138" s="52">
        <f>('Input Assumptions'!$B$24/'EUI by End Use'!AE$4)*'EUI by End Use'!AX$4</f>
        <v>7.6268041732914567</v>
      </c>
      <c r="G138" s="332">
        <f t="shared" si="65"/>
        <v>2.4815588657423939</v>
      </c>
      <c r="H138" s="311"/>
      <c r="I138" s="311"/>
      <c r="J138" s="57"/>
      <c r="K138" s="327">
        <f t="shared" si="63"/>
        <v>7.6268041732914567</v>
      </c>
      <c r="L138" s="320">
        <f t="shared" si="63"/>
        <v>7.6268041732914567</v>
      </c>
      <c r="M138" s="320">
        <f t="shared" si="63"/>
        <v>7.6268041732914567</v>
      </c>
      <c r="N138" s="320">
        <f t="shared" si="63"/>
        <v>7.6268041732914567</v>
      </c>
      <c r="O138" s="320">
        <f t="shared" si="63"/>
        <v>7.6268041732914567</v>
      </c>
      <c r="P138" s="320">
        <f t="shared" si="63"/>
        <v>7.6268041732914567</v>
      </c>
      <c r="Q138" s="320">
        <f t="shared" si="63"/>
        <v>7.6268041732914567</v>
      </c>
      <c r="R138" s="320">
        <f t="shared" si="63"/>
        <v>7.6268041732914567</v>
      </c>
      <c r="S138" s="320">
        <f t="shared" si="63"/>
        <v>7.6268041732914567</v>
      </c>
      <c r="T138" s="320">
        <f t="shared" si="63"/>
        <v>7.6268041732914567</v>
      </c>
      <c r="U138" s="320">
        <f t="shared" si="64"/>
        <v>7.6268041732914567</v>
      </c>
      <c r="V138" s="320">
        <f t="shared" si="64"/>
        <v>7.6268041732914567</v>
      </c>
      <c r="W138" s="320">
        <f t="shared" si="64"/>
        <v>7.6268041732914567</v>
      </c>
      <c r="X138" s="320">
        <f t="shared" si="64"/>
        <v>7.6268041732914567</v>
      </c>
      <c r="Y138" s="320">
        <f t="shared" si="64"/>
        <v>7.6268041732914567</v>
      </c>
      <c r="Z138" s="320">
        <f t="shared" si="64"/>
        <v>7.6268041732914567</v>
      </c>
      <c r="AA138" s="320">
        <f t="shared" si="64"/>
        <v>7.6268041732914567</v>
      </c>
      <c r="AB138" s="320">
        <f t="shared" si="64"/>
        <v>7.6268041732914567</v>
      </c>
      <c r="AC138" s="320">
        <f t="shared" si="64"/>
        <v>7.6268041732914567</v>
      </c>
      <c r="AD138" s="320">
        <f t="shared" si="64"/>
        <v>7.6268041732914567</v>
      </c>
      <c r="AE138" s="320">
        <f t="shared" si="64"/>
        <v>7.6268041732914567</v>
      </c>
      <c r="AF138" s="320">
        <f t="shared" si="64"/>
        <v>7.6268041732914567</v>
      </c>
      <c r="AG138" s="328">
        <f t="shared" si="64"/>
        <v>7.6268041732914567</v>
      </c>
    </row>
    <row r="139" spans="1:33" ht="13.5" thickBot="1">
      <c r="A139" s="399" t="s">
        <v>273</v>
      </c>
      <c r="B139" s="400">
        <f>('Input Assumptions'!B$24/'EUI by End Use'!AE$4)*'EUI by End Use'!AJ$4</f>
        <v>7.2293088119348079</v>
      </c>
      <c r="C139" s="64"/>
      <c r="D139" s="64"/>
      <c r="E139" s="64"/>
      <c r="F139" s="400">
        <f>('Input Assumptions'!$B$24/'EUI by End Use'!AE$4)*'EUI by End Use'!AY$4</f>
        <v>5.2950574406388915</v>
      </c>
      <c r="G139" s="401">
        <f t="shared" si="65"/>
        <v>1.9342513712959164</v>
      </c>
      <c r="H139" s="311"/>
      <c r="I139" s="311"/>
      <c r="J139" s="57"/>
      <c r="K139" s="327">
        <f t="shared" si="63"/>
        <v>5.2950574406388915</v>
      </c>
      <c r="L139" s="320">
        <f t="shared" si="63"/>
        <v>5.2950574406388915</v>
      </c>
      <c r="M139" s="320">
        <f t="shared" si="63"/>
        <v>5.2950574406388915</v>
      </c>
      <c r="N139" s="320">
        <f t="shared" si="63"/>
        <v>5.2950574406388915</v>
      </c>
      <c r="O139" s="320">
        <f t="shared" si="63"/>
        <v>5.2950574406388915</v>
      </c>
      <c r="P139" s="320">
        <f t="shared" si="63"/>
        <v>5.2950574406388915</v>
      </c>
      <c r="Q139" s="320">
        <f t="shared" si="63"/>
        <v>5.2950574406388915</v>
      </c>
      <c r="R139" s="320">
        <f t="shared" si="63"/>
        <v>5.2950574406388915</v>
      </c>
      <c r="S139" s="320">
        <f t="shared" si="63"/>
        <v>5.2950574406388915</v>
      </c>
      <c r="T139" s="320">
        <f t="shared" si="63"/>
        <v>5.2950574406388915</v>
      </c>
      <c r="U139" s="320">
        <f t="shared" si="64"/>
        <v>5.2950574406388915</v>
      </c>
      <c r="V139" s="320">
        <f t="shared" si="64"/>
        <v>5.2950574406388915</v>
      </c>
      <c r="W139" s="320">
        <f t="shared" si="64"/>
        <v>5.2950574406388915</v>
      </c>
      <c r="X139" s="320">
        <f t="shared" si="64"/>
        <v>5.2950574406388915</v>
      </c>
      <c r="Y139" s="320">
        <f t="shared" si="64"/>
        <v>5.2950574406388915</v>
      </c>
      <c r="Z139" s="320">
        <f t="shared" si="64"/>
        <v>5.2950574406388915</v>
      </c>
      <c r="AA139" s="320">
        <f t="shared" si="64"/>
        <v>5.2950574406388915</v>
      </c>
      <c r="AB139" s="320">
        <f t="shared" si="64"/>
        <v>5.2950574406388915</v>
      </c>
      <c r="AC139" s="320">
        <f t="shared" si="64"/>
        <v>5.2950574406388915</v>
      </c>
      <c r="AD139" s="320">
        <f t="shared" si="64"/>
        <v>5.2950574406388915</v>
      </c>
      <c r="AE139" s="320">
        <f t="shared" si="64"/>
        <v>5.2950574406388915</v>
      </c>
      <c r="AF139" s="320">
        <f t="shared" si="64"/>
        <v>5.2950574406388915</v>
      </c>
      <c r="AG139" s="328">
        <f t="shared" si="64"/>
        <v>5.2950574406388915</v>
      </c>
    </row>
    <row r="140" spans="1:33">
      <c r="A140" s="48" t="s">
        <v>274</v>
      </c>
      <c r="B140" s="52">
        <f>('Input Assumptions'!B$24/'EUI by End Use'!AE$4)*'EUI by End Use'!AK$4</f>
        <v>9.1294979595549499</v>
      </c>
      <c r="C140" s="46"/>
      <c r="D140" s="46"/>
      <c r="E140" s="46"/>
      <c r="F140" s="52">
        <f>('Input Assumptions'!$B$24/'EUI by End Use'!AE$4)*'EUI by End Use'!AZ$4</f>
        <v>9.1294979595549499</v>
      </c>
      <c r="G140" s="52">
        <f t="shared" si="65"/>
        <v>0</v>
      </c>
      <c r="H140" s="46"/>
      <c r="I140" s="46"/>
      <c r="J140" s="57"/>
      <c r="K140" s="331">
        <f t="shared" si="63"/>
        <v>9.1294979595549499</v>
      </c>
      <c r="L140" s="52">
        <f t="shared" si="63"/>
        <v>9.1294979595549499</v>
      </c>
      <c r="M140" s="52">
        <f t="shared" si="63"/>
        <v>9.1294979595549499</v>
      </c>
      <c r="N140" s="52">
        <f t="shared" si="63"/>
        <v>9.1294979595549499</v>
      </c>
      <c r="O140" s="52">
        <f t="shared" si="63"/>
        <v>9.1294979595549499</v>
      </c>
      <c r="P140" s="52">
        <f t="shared" si="63"/>
        <v>9.1294979595549499</v>
      </c>
      <c r="Q140" s="52">
        <f t="shared" si="63"/>
        <v>9.1294979595549499</v>
      </c>
      <c r="R140" s="52">
        <f t="shared" si="63"/>
        <v>9.1294979595549499</v>
      </c>
      <c r="S140" s="52">
        <f t="shared" si="63"/>
        <v>9.1294979595549499</v>
      </c>
      <c r="T140" s="52">
        <f t="shared" si="63"/>
        <v>9.1294979595549499</v>
      </c>
      <c r="U140" s="52">
        <f t="shared" si="64"/>
        <v>9.1294979595549499</v>
      </c>
      <c r="V140" s="52">
        <f t="shared" si="64"/>
        <v>9.1294979595549499</v>
      </c>
      <c r="W140" s="52">
        <f t="shared" si="64"/>
        <v>9.1294979595549499</v>
      </c>
      <c r="X140" s="52">
        <f t="shared" si="64"/>
        <v>9.1294979595549499</v>
      </c>
      <c r="Y140" s="52">
        <f t="shared" si="64"/>
        <v>9.1294979595549499</v>
      </c>
      <c r="Z140" s="52">
        <f t="shared" si="64"/>
        <v>9.1294979595549499</v>
      </c>
      <c r="AA140" s="52">
        <f t="shared" si="64"/>
        <v>9.1294979595549499</v>
      </c>
      <c r="AB140" s="52">
        <f t="shared" si="64"/>
        <v>9.1294979595549499</v>
      </c>
      <c r="AC140" s="52">
        <f t="shared" si="64"/>
        <v>9.1294979595549499</v>
      </c>
      <c r="AD140" s="52">
        <f t="shared" si="64"/>
        <v>9.1294979595549499</v>
      </c>
      <c r="AE140" s="52">
        <f t="shared" si="64"/>
        <v>9.1294979595549499</v>
      </c>
      <c r="AF140" s="52">
        <f t="shared" si="64"/>
        <v>9.1294979595549499</v>
      </c>
      <c r="AG140" s="332">
        <f t="shared" si="64"/>
        <v>9.1294979595549499</v>
      </c>
    </row>
    <row r="141" spans="1:33">
      <c r="A141" s="48" t="s">
        <v>275</v>
      </c>
      <c r="B141" s="52">
        <f>('Input Assumptions'!B$24/'EUI by End Use'!AE$4)*'EUI by End Use'!AL$4</f>
        <v>3.1395814311108778</v>
      </c>
      <c r="C141" s="46"/>
      <c r="D141" s="46"/>
      <c r="E141" s="46"/>
      <c r="F141" s="52">
        <f>('Input Assumptions'!$B$24/'EUI by End Use'!AE$4)*'EUI by End Use'!BA$4</f>
        <v>3.1395814311108778</v>
      </c>
      <c r="G141" s="52">
        <f t="shared" si="65"/>
        <v>0</v>
      </c>
      <c r="H141" s="46"/>
      <c r="I141" s="46"/>
      <c r="J141" s="57"/>
      <c r="K141" s="331">
        <f t="shared" si="63"/>
        <v>3.1395814311108778</v>
      </c>
      <c r="L141" s="52">
        <f t="shared" si="63"/>
        <v>3.1395814311108778</v>
      </c>
      <c r="M141" s="52">
        <f t="shared" si="63"/>
        <v>3.1395814311108778</v>
      </c>
      <c r="N141" s="52">
        <f t="shared" si="63"/>
        <v>3.1395814311108778</v>
      </c>
      <c r="O141" s="52">
        <f t="shared" si="63"/>
        <v>3.1395814311108778</v>
      </c>
      <c r="P141" s="52">
        <f t="shared" si="63"/>
        <v>3.1395814311108778</v>
      </c>
      <c r="Q141" s="52">
        <f t="shared" si="63"/>
        <v>3.1395814311108778</v>
      </c>
      <c r="R141" s="52">
        <f t="shared" si="63"/>
        <v>3.1395814311108778</v>
      </c>
      <c r="S141" s="52">
        <f t="shared" si="63"/>
        <v>3.1395814311108778</v>
      </c>
      <c r="T141" s="52">
        <f t="shared" si="63"/>
        <v>3.1395814311108778</v>
      </c>
      <c r="U141" s="52">
        <f t="shared" si="64"/>
        <v>3.1395814311108778</v>
      </c>
      <c r="V141" s="52">
        <f t="shared" si="64"/>
        <v>3.1395814311108778</v>
      </c>
      <c r="W141" s="52">
        <f t="shared" si="64"/>
        <v>3.1395814311108778</v>
      </c>
      <c r="X141" s="52">
        <f t="shared" si="64"/>
        <v>3.1395814311108778</v>
      </c>
      <c r="Y141" s="52">
        <f t="shared" si="64"/>
        <v>3.1395814311108778</v>
      </c>
      <c r="Z141" s="52">
        <f t="shared" si="64"/>
        <v>3.1395814311108778</v>
      </c>
      <c r="AA141" s="52">
        <f t="shared" si="64"/>
        <v>3.1395814311108778</v>
      </c>
      <c r="AB141" s="52">
        <f t="shared" si="64"/>
        <v>3.1395814311108778</v>
      </c>
      <c r="AC141" s="52">
        <f t="shared" si="64"/>
        <v>3.1395814311108778</v>
      </c>
      <c r="AD141" s="52">
        <f t="shared" si="64"/>
        <v>3.1395814311108778</v>
      </c>
      <c r="AE141" s="52">
        <f t="shared" si="64"/>
        <v>3.1395814311108778</v>
      </c>
      <c r="AF141" s="52">
        <f t="shared" si="64"/>
        <v>3.1395814311108778</v>
      </c>
      <c r="AG141" s="332">
        <f t="shared" si="64"/>
        <v>3.1395814311108778</v>
      </c>
    </row>
    <row r="142" spans="1:33">
      <c r="A142" s="48" t="s">
        <v>276</v>
      </c>
      <c r="B142" s="52">
        <f>('Input Assumptions'!B$24/'EUI by End Use'!AE$4)*'EUI by End Use'!AM$4</f>
        <v>1.1433707208210211</v>
      </c>
      <c r="C142" s="46"/>
      <c r="D142" s="46"/>
      <c r="E142" s="46"/>
      <c r="F142" s="52">
        <f>('Input Assumptions'!$B$24/'EUI by End Use'!AE$4)*'EUI by End Use'!BB$4</f>
        <v>1.1433707208210211</v>
      </c>
      <c r="G142" s="52">
        <f t="shared" si="65"/>
        <v>0</v>
      </c>
      <c r="H142" s="46"/>
      <c r="I142" s="46"/>
      <c r="J142" s="57"/>
      <c r="K142" s="331">
        <f t="shared" si="63"/>
        <v>1.1433707208210211</v>
      </c>
      <c r="L142" s="52">
        <f t="shared" si="63"/>
        <v>1.1433707208210211</v>
      </c>
      <c r="M142" s="52">
        <f t="shared" si="63"/>
        <v>1.1433707208210211</v>
      </c>
      <c r="N142" s="52">
        <f t="shared" si="63"/>
        <v>1.1433707208210211</v>
      </c>
      <c r="O142" s="52">
        <f t="shared" si="63"/>
        <v>1.1433707208210211</v>
      </c>
      <c r="P142" s="52">
        <f t="shared" si="63"/>
        <v>1.1433707208210211</v>
      </c>
      <c r="Q142" s="52">
        <f t="shared" si="63"/>
        <v>1.1433707208210211</v>
      </c>
      <c r="R142" s="52">
        <f t="shared" si="63"/>
        <v>1.1433707208210211</v>
      </c>
      <c r="S142" s="52">
        <f t="shared" si="63"/>
        <v>1.1433707208210211</v>
      </c>
      <c r="T142" s="52">
        <f t="shared" si="63"/>
        <v>1.1433707208210211</v>
      </c>
      <c r="U142" s="52">
        <f t="shared" si="64"/>
        <v>1.1433707208210211</v>
      </c>
      <c r="V142" s="52">
        <f t="shared" si="64"/>
        <v>1.1433707208210211</v>
      </c>
      <c r="W142" s="52">
        <f t="shared" si="64"/>
        <v>1.1433707208210211</v>
      </c>
      <c r="X142" s="52">
        <f t="shared" si="64"/>
        <v>1.1433707208210211</v>
      </c>
      <c r="Y142" s="52">
        <f t="shared" si="64"/>
        <v>1.1433707208210211</v>
      </c>
      <c r="Z142" s="52">
        <f t="shared" si="64"/>
        <v>1.1433707208210211</v>
      </c>
      <c r="AA142" s="52">
        <f t="shared" si="64"/>
        <v>1.1433707208210211</v>
      </c>
      <c r="AB142" s="52">
        <f t="shared" si="64"/>
        <v>1.1433707208210211</v>
      </c>
      <c r="AC142" s="52">
        <f t="shared" si="64"/>
        <v>1.1433707208210211</v>
      </c>
      <c r="AD142" s="52">
        <f t="shared" si="64"/>
        <v>1.1433707208210211</v>
      </c>
      <c r="AE142" s="52">
        <f t="shared" si="64"/>
        <v>1.1433707208210211</v>
      </c>
      <c r="AF142" s="52">
        <f t="shared" si="64"/>
        <v>1.1433707208210211</v>
      </c>
      <c r="AG142" s="332">
        <f t="shared" si="64"/>
        <v>1.1433707208210211</v>
      </c>
    </row>
    <row r="143" spans="1:33">
      <c r="A143" s="48" t="s">
        <v>277</v>
      </c>
      <c r="B143" s="52">
        <f>('Input Assumptions'!B$24/'EUI by End Use'!AE$4)*'EUI by End Use'!AN$4</f>
        <v>4.6662677640660553</v>
      </c>
      <c r="C143" s="46"/>
      <c r="D143" s="46"/>
      <c r="E143" s="46"/>
      <c r="F143" s="52">
        <f>('Input Assumptions'!$B$24/'EUI by End Use'!AE$4)*'EUI by End Use'!BC$4</f>
        <v>4.6662677640660553</v>
      </c>
      <c r="G143" s="52">
        <f t="shared" si="65"/>
        <v>0</v>
      </c>
      <c r="H143" s="46"/>
      <c r="I143" s="46"/>
      <c r="J143" s="57"/>
      <c r="K143" s="331">
        <f t="shared" si="63"/>
        <v>4.6662677640660553</v>
      </c>
      <c r="L143" s="52">
        <f t="shared" si="63"/>
        <v>4.6662677640660553</v>
      </c>
      <c r="M143" s="52">
        <f t="shared" si="63"/>
        <v>4.6662677640660553</v>
      </c>
      <c r="N143" s="52">
        <f t="shared" si="63"/>
        <v>4.6662677640660553</v>
      </c>
      <c r="O143" s="52">
        <f t="shared" si="63"/>
        <v>4.6662677640660553</v>
      </c>
      <c r="P143" s="52">
        <f t="shared" si="63"/>
        <v>4.6662677640660553</v>
      </c>
      <c r="Q143" s="52">
        <f t="shared" si="63"/>
        <v>4.6662677640660553</v>
      </c>
      <c r="R143" s="52">
        <f t="shared" si="63"/>
        <v>4.6662677640660553</v>
      </c>
      <c r="S143" s="52">
        <f t="shared" si="63"/>
        <v>4.6662677640660553</v>
      </c>
      <c r="T143" s="52">
        <f t="shared" si="63"/>
        <v>4.6662677640660553</v>
      </c>
      <c r="U143" s="52">
        <f t="shared" si="64"/>
        <v>4.6662677640660553</v>
      </c>
      <c r="V143" s="52">
        <f t="shared" si="64"/>
        <v>4.6662677640660553</v>
      </c>
      <c r="W143" s="52">
        <f t="shared" si="64"/>
        <v>4.6662677640660553</v>
      </c>
      <c r="X143" s="52">
        <f t="shared" si="64"/>
        <v>4.6662677640660553</v>
      </c>
      <c r="Y143" s="52">
        <f t="shared" si="64"/>
        <v>4.6662677640660553</v>
      </c>
      <c r="Z143" s="52">
        <f t="shared" si="64"/>
        <v>4.6662677640660553</v>
      </c>
      <c r="AA143" s="52">
        <f t="shared" si="64"/>
        <v>4.6662677640660553</v>
      </c>
      <c r="AB143" s="52">
        <f t="shared" si="64"/>
        <v>4.6662677640660553</v>
      </c>
      <c r="AC143" s="52">
        <f t="shared" si="64"/>
        <v>4.6662677640660553</v>
      </c>
      <c r="AD143" s="52">
        <f t="shared" si="64"/>
        <v>4.6662677640660553</v>
      </c>
      <c r="AE143" s="52">
        <f t="shared" si="64"/>
        <v>4.6662677640660553</v>
      </c>
      <c r="AF143" s="52">
        <f t="shared" si="64"/>
        <v>4.6662677640660553</v>
      </c>
      <c r="AG143" s="332">
        <f t="shared" si="64"/>
        <v>4.6662677640660553</v>
      </c>
    </row>
    <row r="144" spans="1:33">
      <c r="A144" s="48" t="s">
        <v>76</v>
      </c>
      <c r="B144" s="52">
        <f>B136-(SUM(B137:B143))</f>
        <v>8.6265278693802543</v>
      </c>
      <c r="C144" s="46"/>
      <c r="D144" s="46"/>
      <c r="E144" s="46"/>
      <c r="F144" s="52">
        <f>B144</f>
        <v>8.6265278693802543</v>
      </c>
      <c r="G144" s="52">
        <f t="shared" si="65"/>
        <v>0</v>
      </c>
      <c r="H144" s="46"/>
      <c r="I144" s="46"/>
      <c r="J144" s="57"/>
      <c r="K144" s="331">
        <f t="shared" si="63"/>
        <v>8.6265278693802543</v>
      </c>
      <c r="L144" s="52">
        <f t="shared" si="63"/>
        <v>8.6265278693802543</v>
      </c>
      <c r="M144" s="52">
        <f t="shared" si="63"/>
        <v>8.6265278693802543</v>
      </c>
      <c r="N144" s="52">
        <f t="shared" si="63"/>
        <v>8.6265278693802543</v>
      </c>
      <c r="O144" s="52">
        <f t="shared" si="63"/>
        <v>8.6265278693802543</v>
      </c>
      <c r="P144" s="52">
        <f t="shared" si="63"/>
        <v>8.6265278693802543</v>
      </c>
      <c r="Q144" s="52">
        <f t="shared" si="63"/>
        <v>8.6265278693802543</v>
      </c>
      <c r="R144" s="52">
        <f t="shared" si="63"/>
        <v>8.6265278693802543</v>
      </c>
      <c r="S144" s="52">
        <f t="shared" si="63"/>
        <v>8.6265278693802543</v>
      </c>
      <c r="T144" s="52">
        <f t="shared" si="63"/>
        <v>8.6265278693802543</v>
      </c>
      <c r="U144" s="52">
        <f t="shared" si="64"/>
        <v>8.6265278693802543</v>
      </c>
      <c r="V144" s="52">
        <f t="shared" si="64"/>
        <v>8.6265278693802543</v>
      </c>
      <c r="W144" s="52">
        <f t="shared" si="64"/>
        <v>8.6265278693802543</v>
      </c>
      <c r="X144" s="52">
        <f t="shared" si="64"/>
        <v>8.6265278693802543</v>
      </c>
      <c r="Y144" s="52">
        <f t="shared" si="64"/>
        <v>8.6265278693802543</v>
      </c>
      <c r="Z144" s="52">
        <f t="shared" si="64"/>
        <v>8.6265278693802543</v>
      </c>
      <c r="AA144" s="52">
        <f t="shared" si="64"/>
        <v>8.6265278693802543</v>
      </c>
      <c r="AB144" s="52">
        <f t="shared" si="64"/>
        <v>8.6265278693802543</v>
      </c>
      <c r="AC144" s="52">
        <f t="shared" si="64"/>
        <v>8.6265278693802543</v>
      </c>
      <c r="AD144" s="52">
        <f t="shared" si="64"/>
        <v>8.6265278693802543</v>
      </c>
      <c r="AE144" s="52">
        <f t="shared" si="64"/>
        <v>8.6265278693802543</v>
      </c>
      <c r="AF144" s="52">
        <f t="shared" si="64"/>
        <v>8.6265278693802543</v>
      </c>
      <c r="AG144" s="332">
        <f t="shared" si="64"/>
        <v>8.6265278693802543</v>
      </c>
    </row>
    <row r="145" spans="1:33">
      <c r="A145" s="48" t="s">
        <v>21</v>
      </c>
      <c r="B145" s="49">
        <f>(B134/1000)*B136</f>
        <v>5569867.6447931109</v>
      </c>
      <c r="C145" s="46"/>
      <c r="D145" s="46"/>
      <c r="E145" s="46"/>
      <c r="F145" s="49">
        <f>(F134/1000)*F136</f>
        <v>4585068.5973622873</v>
      </c>
      <c r="G145" s="38">
        <f t="shared" si="65"/>
        <v>984799.04743082356</v>
      </c>
      <c r="H145" s="46"/>
      <c r="I145" s="46"/>
      <c r="J145" s="57"/>
      <c r="K145" s="182">
        <f t="shared" si="63"/>
        <v>4585068.5973622873</v>
      </c>
      <c r="L145" s="49">
        <f t="shared" si="63"/>
        <v>4585068.5973622873</v>
      </c>
      <c r="M145" s="49">
        <f t="shared" si="63"/>
        <v>4585068.5973622873</v>
      </c>
      <c r="N145" s="49">
        <f t="shared" si="63"/>
        <v>4585068.5973622873</v>
      </c>
      <c r="O145" s="49">
        <f t="shared" si="63"/>
        <v>4585068.5973622873</v>
      </c>
      <c r="P145" s="49">
        <f t="shared" si="63"/>
        <v>4585068.5973622873</v>
      </c>
      <c r="Q145" s="49">
        <f t="shared" si="63"/>
        <v>4585068.5973622873</v>
      </c>
      <c r="R145" s="49">
        <f t="shared" si="63"/>
        <v>4585068.5973622873</v>
      </c>
      <c r="S145" s="49">
        <f t="shared" si="63"/>
        <v>4585068.5973622873</v>
      </c>
      <c r="T145" s="49">
        <f t="shared" si="63"/>
        <v>4585068.5973622873</v>
      </c>
      <c r="U145" s="49">
        <f t="shared" si="64"/>
        <v>4585068.5973622873</v>
      </c>
      <c r="V145" s="49">
        <f t="shared" si="64"/>
        <v>4585068.5973622873</v>
      </c>
      <c r="W145" s="49">
        <f t="shared" si="64"/>
        <v>4585068.5973622873</v>
      </c>
      <c r="X145" s="49">
        <f t="shared" si="64"/>
        <v>4585068.5973622873</v>
      </c>
      <c r="Y145" s="49">
        <f t="shared" si="64"/>
        <v>4585068.5973622873</v>
      </c>
      <c r="Z145" s="49">
        <f t="shared" si="64"/>
        <v>4585068.5973622873</v>
      </c>
      <c r="AA145" s="49">
        <f t="shared" si="64"/>
        <v>4585068.5973622873</v>
      </c>
      <c r="AB145" s="49">
        <f t="shared" si="64"/>
        <v>4585068.5973622873</v>
      </c>
      <c r="AC145" s="49">
        <f t="shared" si="64"/>
        <v>4585068.5973622873</v>
      </c>
      <c r="AD145" s="49">
        <f t="shared" si="64"/>
        <v>4585068.5973622873</v>
      </c>
      <c r="AE145" s="49">
        <f t="shared" si="64"/>
        <v>4585068.5973622873</v>
      </c>
      <c r="AF145" s="49">
        <f t="shared" si="64"/>
        <v>4585068.5973622873</v>
      </c>
      <c r="AG145" s="183">
        <f t="shared" si="64"/>
        <v>4585068.5973622873</v>
      </c>
    </row>
    <row r="146" spans="1:33" ht="13.5" thickBot="1">
      <c r="A146" s="48" t="s">
        <v>22</v>
      </c>
      <c r="B146" s="54">
        <f>B145/8760000</f>
        <v>0.63582963981656515</v>
      </c>
      <c r="C146" s="46"/>
      <c r="D146" s="46"/>
      <c r="E146" s="46"/>
      <c r="F146" s="54">
        <f>F145/8760000</f>
        <v>0.52340965723313781</v>
      </c>
      <c r="G146" s="71">
        <f t="shared" si="65"/>
        <v>0.11241998258342734</v>
      </c>
      <c r="H146" s="46"/>
      <c r="I146" s="46"/>
      <c r="J146" s="57"/>
      <c r="K146" s="338">
        <f t="shared" si="63"/>
        <v>0.52340965723313781</v>
      </c>
      <c r="L146" s="54">
        <f t="shared" si="63"/>
        <v>0.52340965723313781</v>
      </c>
      <c r="M146" s="54">
        <f t="shared" si="63"/>
        <v>0.52340965723313781</v>
      </c>
      <c r="N146" s="54">
        <f t="shared" si="63"/>
        <v>0.52340965723313781</v>
      </c>
      <c r="O146" s="54">
        <f t="shared" si="63"/>
        <v>0.52340965723313781</v>
      </c>
      <c r="P146" s="54">
        <f t="shared" si="63"/>
        <v>0.52340965723313781</v>
      </c>
      <c r="Q146" s="54">
        <f t="shared" si="63"/>
        <v>0.52340965723313781</v>
      </c>
      <c r="R146" s="54">
        <f t="shared" si="63"/>
        <v>0.52340965723313781</v>
      </c>
      <c r="S146" s="54">
        <f t="shared" si="63"/>
        <v>0.52340965723313781</v>
      </c>
      <c r="T146" s="54">
        <f t="shared" si="63"/>
        <v>0.52340965723313781</v>
      </c>
      <c r="U146" s="54">
        <f t="shared" si="64"/>
        <v>0.52340965723313781</v>
      </c>
      <c r="V146" s="54">
        <f t="shared" si="64"/>
        <v>0.52340965723313781</v>
      </c>
      <c r="W146" s="54">
        <f t="shared" si="64"/>
        <v>0.52340965723313781</v>
      </c>
      <c r="X146" s="54">
        <f t="shared" si="64"/>
        <v>0.52340965723313781</v>
      </c>
      <c r="Y146" s="54">
        <f t="shared" si="64"/>
        <v>0.52340965723313781</v>
      </c>
      <c r="Z146" s="54">
        <f t="shared" si="64"/>
        <v>0.52340965723313781</v>
      </c>
      <c r="AA146" s="54">
        <f t="shared" si="64"/>
        <v>0.52340965723313781</v>
      </c>
      <c r="AB146" s="54">
        <f t="shared" si="64"/>
        <v>0.52340965723313781</v>
      </c>
      <c r="AC146" s="54">
        <f t="shared" si="64"/>
        <v>0.52340965723313781</v>
      </c>
      <c r="AD146" s="54">
        <f t="shared" si="64"/>
        <v>0.52340965723313781</v>
      </c>
      <c r="AE146" s="54">
        <f t="shared" si="64"/>
        <v>0.52340965723313781</v>
      </c>
      <c r="AF146" s="54">
        <f t="shared" si="64"/>
        <v>0.52340965723313781</v>
      </c>
      <c r="AG146" s="339">
        <f t="shared" si="64"/>
        <v>0.52340965723313781</v>
      </c>
    </row>
    <row r="147" spans="1:33" ht="13.5" thickBot="1">
      <c r="A147" s="670"/>
      <c r="B147" s="671"/>
      <c r="C147" s="671"/>
      <c r="D147" s="671"/>
      <c r="E147" s="671"/>
      <c r="F147" s="671"/>
      <c r="G147" s="672"/>
      <c r="H147" s="673" t="s">
        <v>24</v>
      </c>
      <c r="I147" s="673"/>
      <c r="J147" s="674"/>
      <c r="K147" s="340">
        <f t="shared" ref="K147:AF147" si="66">$B146+K118</f>
        <v>18.833261426748969</v>
      </c>
      <c r="L147" s="341">
        <f t="shared" si="66"/>
        <v>18.427258961450125</v>
      </c>
      <c r="M147" s="341">
        <f t="shared" si="66"/>
        <v>18.734761680911923</v>
      </c>
      <c r="N147" s="341">
        <f t="shared" ca="1" si="66"/>
        <v>19.071126314858208</v>
      </c>
      <c r="O147" s="341">
        <f t="shared" ca="1" si="66"/>
        <v>19.393282363508035</v>
      </c>
      <c r="P147" s="341">
        <f t="shared" ca="1" si="66"/>
        <v>19.745011524053247</v>
      </c>
      <c r="Q147" s="341">
        <f t="shared" ca="1" si="66"/>
        <v>20.044478769541467</v>
      </c>
      <c r="R147" s="341">
        <f t="shared" ca="1" si="66"/>
        <v>20.361229690083839</v>
      </c>
      <c r="S147" s="341">
        <f t="shared" ca="1" si="66"/>
        <v>20.629868888055803</v>
      </c>
      <c r="T147" s="341">
        <f t="shared" ca="1" si="66"/>
        <v>20.967488088759527</v>
      </c>
      <c r="U147" s="341">
        <f t="shared" ca="1" si="66"/>
        <v>21.223683559592324</v>
      </c>
      <c r="V147" s="341">
        <f t="shared" ca="1" si="66"/>
        <v>21.53443141963756</v>
      </c>
      <c r="W147" s="341">
        <f t="shared" ca="1" si="66"/>
        <v>21.889763197321795</v>
      </c>
      <c r="X147" s="341">
        <f t="shared" ca="1" si="66"/>
        <v>22.279587728476237</v>
      </c>
      <c r="Y147" s="341">
        <f t="shared" ca="1" si="66"/>
        <v>22.696698370435257</v>
      </c>
      <c r="Z147" s="341">
        <f t="shared" ca="1" si="66"/>
        <v>23.082996624806736</v>
      </c>
      <c r="AA147" s="341">
        <f t="shared" ca="1" si="66"/>
        <v>23.478430049968797</v>
      </c>
      <c r="AB147" s="341">
        <f t="shared" ca="1" si="66"/>
        <v>23.858836348378656</v>
      </c>
      <c r="AC147" s="341">
        <f t="shared" ca="1" si="66"/>
        <v>24.315133391868827</v>
      </c>
      <c r="AD147" s="341">
        <f t="shared" ca="1" si="66"/>
        <v>24.745465895112062</v>
      </c>
      <c r="AE147" s="341">
        <f t="shared" ca="1" si="66"/>
        <v>25.1186224800643</v>
      </c>
      <c r="AF147" s="341">
        <f t="shared" ca="1" si="66"/>
        <v>25.586253235281827</v>
      </c>
      <c r="AG147" s="342">
        <f t="shared" ref="AG147" ca="1" si="67">$B146+AG118</f>
        <v>25.935210885452125</v>
      </c>
    </row>
    <row r="148" spans="1:33" ht="13.5" thickBot="1">
      <c r="A148" s="347" t="s">
        <v>25</v>
      </c>
      <c r="B148" s="72">
        <f>B131+B146</f>
        <v>18.833612015752568</v>
      </c>
      <c r="C148" s="64"/>
      <c r="D148" s="64"/>
      <c r="E148" s="64"/>
      <c r="F148" s="72">
        <f>F131+F146</f>
        <v>17.34443902743692</v>
      </c>
      <c r="G148" s="73">
        <f>G131+G146</f>
        <v>1.4891729883156499</v>
      </c>
      <c r="H148" s="658" t="s">
        <v>26</v>
      </c>
      <c r="I148" s="659"/>
      <c r="J148" s="660"/>
      <c r="K148" s="333">
        <f t="shared" ref="K148:AF148" si="68">K131+K146</f>
        <v>17.344114962240145</v>
      </c>
      <c r="L148" s="76">
        <f t="shared" si="68"/>
        <v>16.968828608546971</v>
      </c>
      <c r="M148" s="76">
        <f t="shared" si="68"/>
        <v>17.253067213484044</v>
      </c>
      <c r="N148" s="76">
        <f t="shared" ca="1" si="68"/>
        <v>17.563984185114069</v>
      </c>
      <c r="O148" s="76">
        <f t="shared" ca="1" si="68"/>
        <v>17.86176752179653</v>
      </c>
      <c r="P148" s="76">
        <f t="shared" ca="1" si="68"/>
        <v>18.186886616951327</v>
      </c>
      <c r="Q148" s="76">
        <f t="shared" ca="1" si="68"/>
        <v>18.463697671601178</v>
      </c>
      <c r="R148" s="76">
        <f t="shared" ca="1" si="68"/>
        <v>18.756484805077832</v>
      </c>
      <c r="S148" s="76">
        <f t="shared" ca="1" si="68"/>
        <v>19.004800107773718</v>
      </c>
      <c r="T148" s="76">
        <f t="shared" ca="1" si="68"/>
        <v>19.316876731928314</v>
      </c>
      <c r="U148" s="76">
        <f t="shared" ca="1" si="68"/>
        <v>19.553689737511363</v>
      </c>
      <c r="V148" s="76">
        <f t="shared" ca="1" si="68"/>
        <v>19.840927971960248</v>
      </c>
      <c r="W148" s="76">
        <f t="shared" ca="1" si="68"/>
        <v>20.169377128297949</v>
      </c>
      <c r="X148" s="76">
        <f t="shared" ca="1" si="68"/>
        <v>20.529709489258906</v>
      </c>
      <c r="Y148" s="76">
        <f t="shared" ca="1" si="68"/>
        <v>20.915263630641277</v>
      </c>
      <c r="Z148" s="76">
        <f t="shared" ca="1" si="68"/>
        <v>21.272336495246673</v>
      </c>
      <c r="AA148" s="76">
        <f t="shared" ca="1" si="68"/>
        <v>21.63785340940689</v>
      </c>
      <c r="AB148" s="76">
        <f t="shared" ca="1" si="68"/>
        <v>21.989480073907743</v>
      </c>
      <c r="AC148" s="76">
        <f t="shared" ca="1" si="68"/>
        <v>22.411255970086991</v>
      </c>
      <c r="AD148" s="76">
        <f t="shared" ca="1" si="68"/>
        <v>22.809031672997904</v>
      </c>
      <c r="AE148" s="76">
        <f t="shared" ca="1" si="68"/>
        <v>23.153957101025156</v>
      </c>
      <c r="AF148" s="76">
        <f t="shared" ca="1" si="68"/>
        <v>23.586209257107996</v>
      </c>
      <c r="AG148" s="334">
        <f t="shared" ref="AG148" ca="1" si="69">AG131+AG146</f>
        <v>23.908766520471794</v>
      </c>
    </row>
    <row r="149" spans="1:33" ht="13.5" thickBot="1">
      <c r="A149" s="661" t="s">
        <v>33</v>
      </c>
      <c r="B149" s="662"/>
      <c r="C149" s="662"/>
      <c r="D149" s="662"/>
      <c r="E149" s="662"/>
      <c r="F149" s="662"/>
      <c r="G149" s="663"/>
      <c r="H149" s="658" t="s">
        <v>27</v>
      </c>
      <c r="I149" s="659"/>
      <c r="J149" s="659"/>
      <c r="K149" s="335">
        <f t="shared" ref="K149:AF149" si="70">K147-K148</f>
        <v>1.4891464645088242</v>
      </c>
      <c r="L149" s="336">
        <f t="shared" si="70"/>
        <v>1.4584303529031537</v>
      </c>
      <c r="M149" s="336">
        <f t="shared" si="70"/>
        <v>1.4816944674278787</v>
      </c>
      <c r="N149" s="336">
        <f t="shared" ca="1" si="70"/>
        <v>1.507142129744139</v>
      </c>
      <c r="O149" s="336">
        <f t="shared" ca="1" si="70"/>
        <v>1.5315148417115054</v>
      </c>
      <c r="P149" s="336">
        <f t="shared" ca="1" si="70"/>
        <v>1.5581249071019201</v>
      </c>
      <c r="Q149" s="336">
        <f t="shared" ca="1" si="70"/>
        <v>1.5807810979402888</v>
      </c>
      <c r="R149" s="336">
        <f t="shared" ca="1" si="70"/>
        <v>1.6047448850060064</v>
      </c>
      <c r="S149" s="336">
        <f t="shared" ca="1" si="70"/>
        <v>1.6250687802820849</v>
      </c>
      <c r="T149" s="336">
        <f t="shared" ca="1" si="70"/>
        <v>1.6506113568312131</v>
      </c>
      <c r="U149" s="336">
        <f t="shared" ca="1" si="70"/>
        <v>1.6699938220809614</v>
      </c>
      <c r="V149" s="336">
        <f t="shared" ca="1" si="70"/>
        <v>1.6935034476773119</v>
      </c>
      <c r="W149" s="336">
        <f t="shared" ca="1" si="70"/>
        <v>1.7203860690238457</v>
      </c>
      <c r="X149" s="336">
        <f t="shared" ca="1" si="70"/>
        <v>1.7498782392173311</v>
      </c>
      <c r="Y149" s="336">
        <f t="shared" ca="1" si="70"/>
        <v>1.7814347397939798</v>
      </c>
      <c r="Z149" s="336">
        <f t="shared" ca="1" si="70"/>
        <v>1.8106601295600626</v>
      </c>
      <c r="AA149" s="336">
        <f t="shared" ca="1" si="70"/>
        <v>1.8405766405619062</v>
      </c>
      <c r="AB149" s="336">
        <f t="shared" ca="1" si="70"/>
        <v>1.8693562744709133</v>
      </c>
      <c r="AC149" s="336">
        <f t="shared" ca="1" si="70"/>
        <v>1.9038774217818357</v>
      </c>
      <c r="AD149" s="336">
        <f t="shared" ca="1" si="70"/>
        <v>1.9364342221141584</v>
      </c>
      <c r="AE149" s="336">
        <f t="shared" ca="1" si="70"/>
        <v>1.9646653790391433</v>
      </c>
      <c r="AF149" s="336">
        <f t="shared" ca="1" si="70"/>
        <v>2.0000439781738315</v>
      </c>
      <c r="AG149" s="337">
        <f t="shared" ref="AG149" ca="1" si="71">AG147-AG148</f>
        <v>2.0264443649803319</v>
      </c>
    </row>
    <row r="150" spans="1:33" ht="38.25">
      <c r="A150" s="35" t="s">
        <v>0</v>
      </c>
      <c r="B150" s="36" t="s">
        <v>1</v>
      </c>
      <c r="C150" s="36" t="s">
        <v>2</v>
      </c>
      <c r="D150" s="36" t="s">
        <v>3</v>
      </c>
    </row>
    <row r="151" spans="1:33" ht="13.5" thickBot="1">
      <c r="A151" s="37" t="s">
        <v>33</v>
      </c>
      <c r="B151" s="38">
        <f>'State Dairy Production Data'!AC28</f>
        <v>985464</v>
      </c>
      <c r="C151" s="346">
        <f>'State Dairy Production Data'!AD28</f>
        <v>22912.294107141406</v>
      </c>
      <c r="D151" s="38">
        <f>'State Dairy Production Data'!AE28*1000000</f>
        <v>22579241000</v>
      </c>
      <c r="F151" s="34">
        <f>D151/1000000000</f>
        <v>22.579241</v>
      </c>
    </row>
    <row r="152" spans="1:33" ht="13.5" thickBot="1">
      <c r="A152" s="34" t="s">
        <v>6</v>
      </c>
      <c r="B152" s="39" t="s">
        <v>5</v>
      </c>
      <c r="C152" s="40">
        <f>(B8+B45+B82+B119)/D151</f>
        <v>0.97046526038469538</v>
      </c>
    </row>
    <row r="153" spans="1:33" ht="13.5" thickBot="1">
      <c r="B153" s="39" t="s">
        <v>7</v>
      </c>
      <c r="C153" s="66">
        <f>1-C152</f>
        <v>2.9534739615304617E-2</v>
      </c>
      <c r="D153" s="43"/>
    </row>
    <row r="154" spans="1:33" ht="13.5" thickBot="1">
      <c r="A154" s="664" t="s">
        <v>8</v>
      </c>
      <c r="B154" s="665"/>
      <c r="C154" s="665" t="s">
        <v>31</v>
      </c>
      <c r="D154" s="665"/>
      <c r="E154" s="665"/>
      <c r="F154" s="665"/>
      <c r="G154" s="665"/>
      <c r="H154" s="665"/>
      <c r="I154" s="665"/>
      <c r="J154" s="666"/>
      <c r="K154" s="343">
        <v>2013</v>
      </c>
      <c r="L154" s="344">
        <v>2014</v>
      </c>
      <c r="M154" s="344">
        <v>2015</v>
      </c>
      <c r="N154" s="344">
        <v>2016</v>
      </c>
      <c r="O154" s="344">
        <v>2017</v>
      </c>
      <c r="P154" s="344">
        <v>2018</v>
      </c>
      <c r="Q154" s="344">
        <v>2019</v>
      </c>
      <c r="R154" s="344">
        <v>2020</v>
      </c>
      <c r="S154" s="344">
        <v>2021</v>
      </c>
      <c r="T154" s="344">
        <v>2022</v>
      </c>
      <c r="U154" s="344">
        <v>2023</v>
      </c>
      <c r="V154" s="344">
        <v>2024</v>
      </c>
      <c r="W154" s="344">
        <v>2025</v>
      </c>
      <c r="X154" s="344">
        <v>2026</v>
      </c>
      <c r="Y154" s="344">
        <v>2027</v>
      </c>
      <c r="Z154" s="344">
        <v>2028</v>
      </c>
      <c r="AA154" s="344">
        <v>2029</v>
      </c>
      <c r="AB154" s="344">
        <v>2030</v>
      </c>
      <c r="AC154" s="344">
        <v>2031</v>
      </c>
      <c r="AD154" s="344">
        <v>2032</v>
      </c>
      <c r="AE154" s="344">
        <v>2033</v>
      </c>
      <c r="AF154" s="344">
        <v>2034</v>
      </c>
      <c r="AG154" s="344">
        <v>2035</v>
      </c>
    </row>
    <row r="155" spans="1:33">
      <c r="A155" s="44" t="s">
        <v>9</v>
      </c>
      <c r="B155" s="45">
        <f>C152*B151</f>
        <v>956358.57735974342</v>
      </c>
      <c r="C155" s="46"/>
      <c r="D155" s="46"/>
      <c r="E155" s="46"/>
      <c r="F155" s="45">
        <f>B155</f>
        <v>956358.57735974342</v>
      </c>
      <c r="G155" s="46"/>
      <c r="H155" s="46"/>
      <c r="I155" s="46"/>
      <c r="J155" s="47" t="s">
        <v>11</v>
      </c>
      <c r="K155" s="321">
        <f t="shared" ref="K155:AF155" si="72">($B158*(K156/1000)/8760000)</f>
        <v>-1.9483165940622855</v>
      </c>
      <c r="L155" s="322">
        <f t="shared" si="72"/>
        <v>-1.9483165940622855</v>
      </c>
      <c r="M155" s="322">
        <f t="shared" si="72"/>
        <v>-1.9483165940622855</v>
      </c>
      <c r="N155" s="322">
        <f t="shared" si="72"/>
        <v>-1.9483165940622855</v>
      </c>
      <c r="O155" s="322">
        <f t="shared" si="72"/>
        <v>-1.9483165940622855</v>
      </c>
      <c r="P155" s="322">
        <f t="shared" si="72"/>
        <v>-1.9483165940622855</v>
      </c>
      <c r="Q155" s="322">
        <f t="shared" si="72"/>
        <v>-1.9483165940622855</v>
      </c>
      <c r="R155" s="322">
        <f t="shared" si="72"/>
        <v>-1.9483165940622855</v>
      </c>
      <c r="S155" s="322">
        <f t="shared" si="72"/>
        <v>-1.9483165940622855</v>
      </c>
      <c r="T155" s="322">
        <f t="shared" si="72"/>
        <v>-1.9483165940622855</v>
      </c>
      <c r="U155" s="322">
        <f t="shared" si="72"/>
        <v>-1.9483165940622855</v>
      </c>
      <c r="V155" s="322">
        <f t="shared" si="72"/>
        <v>-1.9483165940622855</v>
      </c>
      <c r="W155" s="322">
        <f t="shared" si="72"/>
        <v>-1.9483165940622855</v>
      </c>
      <c r="X155" s="322">
        <f t="shared" si="72"/>
        <v>-1.9483165940622855</v>
      </c>
      <c r="Y155" s="322">
        <f t="shared" si="72"/>
        <v>-1.9483165940622855</v>
      </c>
      <c r="Z155" s="322">
        <f t="shared" si="72"/>
        <v>-1.9483165940622855</v>
      </c>
      <c r="AA155" s="322">
        <f t="shared" si="72"/>
        <v>-1.9483165940622855</v>
      </c>
      <c r="AB155" s="322">
        <f t="shared" si="72"/>
        <v>-1.9483165940622855</v>
      </c>
      <c r="AC155" s="322">
        <f t="shared" si="72"/>
        <v>-1.9483165940622855</v>
      </c>
      <c r="AD155" s="322">
        <f t="shared" si="72"/>
        <v>-1.9483165940622855</v>
      </c>
      <c r="AE155" s="322">
        <f t="shared" si="72"/>
        <v>-1.9483165940622855</v>
      </c>
      <c r="AF155" s="322">
        <f t="shared" si="72"/>
        <v>-1.9483165940622855</v>
      </c>
      <c r="AG155" s="323">
        <f t="shared" ref="AG155" si="73">($B158*(AG156/1000)/8760000)</f>
        <v>-1.9483165940622855</v>
      </c>
    </row>
    <row r="156" spans="1:33">
      <c r="A156" s="48" t="s">
        <v>3</v>
      </c>
      <c r="B156" s="49">
        <f>D151*C152</f>
        <v>21912368996.35379</v>
      </c>
      <c r="C156" s="46"/>
      <c r="D156" s="46"/>
      <c r="E156" s="46"/>
      <c r="F156" s="49">
        <f>B156</f>
        <v>21912368996.35379</v>
      </c>
      <c r="G156" s="46"/>
      <c r="H156" s="46"/>
      <c r="I156" s="46"/>
      <c r="J156" s="57"/>
      <c r="K156" s="324">
        <f>'[2]Dairy Forecast (Base Case)'!C$137*1000000-$F171</f>
        <v>-666872003.64621019</v>
      </c>
      <c r="L156" s="38">
        <f>'[2]Dairy Forecast (Base Case)'!D$137*1000000-$F171</f>
        <v>-666872003.64621019</v>
      </c>
      <c r="M156" s="38">
        <f>'[2]Dairy Forecast (Base Case)'!E$137*1000000-$F171</f>
        <v>-666872003.64621019</v>
      </c>
      <c r="N156" s="38">
        <f>'[2]Dairy Forecast (Base Case)'!F$137*1000000-$F171</f>
        <v>-666872003.64621019</v>
      </c>
      <c r="O156" s="38">
        <f>'[2]Dairy Forecast (Base Case)'!G$137*1000000-$F171</f>
        <v>-666872003.64621019</v>
      </c>
      <c r="P156" s="38">
        <f>'[2]Dairy Forecast (Base Case)'!H$137*1000000-$F171</f>
        <v>-666872003.64621019</v>
      </c>
      <c r="Q156" s="38">
        <f>'[2]Dairy Forecast (Base Case)'!I$137*1000000-$F171</f>
        <v>-666872003.64621019</v>
      </c>
      <c r="R156" s="38">
        <f>'[2]Dairy Forecast (Base Case)'!J$137*1000000-$F171</f>
        <v>-666872003.64621019</v>
      </c>
      <c r="S156" s="38">
        <f>'[2]Dairy Forecast (Base Case)'!K$137*1000000-$F171</f>
        <v>-666872003.64621019</v>
      </c>
      <c r="T156" s="38">
        <f>'[2]Dairy Forecast (Base Case)'!L$137*1000000-$F171</f>
        <v>-666872003.64621019</v>
      </c>
      <c r="U156" s="38">
        <f>'[2]Dairy Forecast (Base Case)'!M$137*1000000-$F171</f>
        <v>-666872003.64621019</v>
      </c>
      <c r="V156" s="38">
        <f>'[2]Dairy Forecast (Base Case)'!N$137*1000000-$F171</f>
        <v>-666872003.64621019</v>
      </c>
      <c r="W156" s="38">
        <f>'[2]Dairy Forecast (Base Case)'!O$137*1000000-$F171</f>
        <v>-666872003.64621019</v>
      </c>
      <c r="X156" s="38">
        <f>'[2]Dairy Forecast (Base Case)'!P$137*1000000-$F171</f>
        <v>-666872003.64621019</v>
      </c>
      <c r="Y156" s="38">
        <f>'[2]Dairy Forecast (Base Case)'!Q$137*1000000-$F171</f>
        <v>-666872003.64621019</v>
      </c>
      <c r="Z156" s="38">
        <f>'[2]Dairy Forecast (Base Case)'!R$137*1000000-$F171</f>
        <v>-666872003.64621019</v>
      </c>
      <c r="AA156" s="38">
        <f>'[2]Dairy Forecast (Base Case)'!S$137*1000000-$F171</f>
        <v>-666872003.64621019</v>
      </c>
      <c r="AB156" s="38">
        <f>'[2]Dairy Forecast (Base Case)'!T$137*1000000-$F171</f>
        <v>-666872003.64621019</v>
      </c>
      <c r="AC156" s="38">
        <f>'[2]Dairy Forecast (Base Case)'!U$137*1000000-$F171</f>
        <v>-666872003.64621019</v>
      </c>
      <c r="AD156" s="38">
        <f>'[2]Dairy Forecast (Base Case)'!V$137*1000000-$F171</f>
        <v>-666872003.64621019</v>
      </c>
      <c r="AE156" s="38">
        <f>'[2]Dairy Forecast (Base Case)'!W$137*1000000-$F171</f>
        <v>-666872003.64621019</v>
      </c>
      <c r="AF156" s="38">
        <f>'[2]Dairy Forecast (Base Case)'!X$137*1000000-$F171</f>
        <v>-666872003.64621019</v>
      </c>
      <c r="AG156" s="185">
        <f>'[2]Dairy Forecast (Base Case)'!Y$137*1000000-$F171</f>
        <v>-666872003.64621019</v>
      </c>
    </row>
    <row r="157" spans="1:33">
      <c r="A157" s="48" t="s">
        <v>12</v>
      </c>
      <c r="B157" s="49">
        <f>C151</f>
        <v>22912.294107141406</v>
      </c>
      <c r="C157" s="46"/>
      <c r="D157" s="46"/>
      <c r="E157" s="46"/>
      <c r="F157" s="49">
        <f>B157</f>
        <v>22912.294107141406</v>
      </c>
      <c r="G157" s="51"/>
      <c r="H157" s="51"/>
      <c r="I157" s="51"/>
      <c r="J157" s="58"/>
      <c r="K157" s="182">
        <f t="shared" ref="K157:Z166" si="74">$F157</f>
        <v>22912.294107141406</v>
      </c>
      <c r="L157" s="49">
        <f t="shared" si="74"/>
        <v>22912.294107141406</v>
      </c>
      <c r="M157" s="49">
        <f t="shared" si="74"/>
        <v>22912.294107141406</v>
      </c>
      <c r="N157" s="49">
        <f t="shared" si="74"/>
        <v>22912.294107141406</v>
      </c>
      <c r="O157" s="49">
        <f t="shared" si="74"/>
        <v>22912.294107141406</v>
      </c>
      <c r="P157" s="49">
        <f t="shared" si="74"/>
        <v>22912.294107141406</v>
      </c>
      <c r="Q157" s="49">
        <f t="shared" si="74"/>
        <v>22912.294107141406</v>
      </c>
      <c r="R157" s="49">
        <f t="shared" si="74"/>
        <v>22912.294107141406</v>
      </c>
      <c r="S157" s="49">
        <f t="shared" si="74"/>
        <v>22912.294107141406</v>
      </c>
      <c r="T157" s="49">
        <f t="shared" si="74"/>
        <v>22912.294107141406</v>
      </c>
      <c r="U157" s="49">
        <f t="shared" si="74"/>
        <v>22912.294107141406</v>
      </c>
      <c r="V157" s="49">
        <f t="shared" si="74"/>
        <v>22912.294107141406</v>
      </c>
      <c r="W157" s="49">
        <f t="shared" si="74"/>
        <v>22912.294107141406</v>
      </c>
      <c r="X157" s="49">
        <f t="shared" si="74"/>
        <v>22912.294107141406</v>
      </c>
      <c r="Y157" s="49">
        <f t="shared" si="74"/>
        <v>22912.294107141406</v>
      </c>
      <c r="Z157" s="49">
        <f t="shared" si="74"/>
        <v>22912.294107141406</v>
      </c>
      <c r="AA157" s="49">
        <f t="shared" ref="U157:AG166" si="75">$F157</f>
        <v>22912.294107141406</v>
      </c>
      <c r="AB157" s="49">
        <f t="shared" si="75"/>
        <v>22912.294107141406</v>
      </c>
      <c r="AC157" s="49">
        <f t="shared" si="75"/>
        <v>22912.294107141406</v>
      </c>
      <c r="AD157" s="49">
        <f t="shared" si="75"/>
        <v>22912.294107141406</v>
      </c>
      <c r="AE157" s="49">
        <f t="shared" si="75"/>
        <v>22912.294107141406</v>
      </c>
      <c r="AF157" s="49">
        <f t="shared" si="75"/>
        <v>22912.294107141406</v>
      </c>
      <c r="AG157" s="183">
        <f t="shared" si="75"/>
        <v>22912.294107141406</v>
      </c>
    </row>
    <row r="158" spans="1:33">
      <c r="A158" s="48" t="s">
        <v>278</v>
      </c>
      <c r="B158" s="52">
        <f>('Input Assumptions'!B$9/'EUI by End Use'!AE$3)*'EUI by End Use'!AG$3</f>
        <v>25.592997262845305</v>
      </c>
      <c r="C158" s="46"/>
      <c r="D158" s="46"/>
      <c r="E158" s="46"/>
      <c r="F158" s="52">
        <f>SUM(F159:F166)</f>
        <v>23.656759364214729</v>
      </c>
      <c r="G158" s="52">
        <f t="shared" ref="G158:G168" si="76">B158-F158</f>
        <v>1.9362378986305764</v>
      </c>
      <c r="H158" s="46"/>
      <c r="I158" s="46"/>
      <c r="J158" s="348" t="s">
        <v>281</v>
      </c>
      <c r="K158" s="325">
        <f t="shared" si="74"/>
        <v>23.656759364214729</v>
      </c>
      <c r="L158" s="53">
        <f t="shared" si="74"/>
        <v>23.656759364214729</v>
      </c>
      <c r="M158" s="53">
        <f t="shared" si="74"/>
        <v>23.656759364214729</v>
      </c>
      <c r="N158" s="53">
        <f t="shared" si="74"/>
        <v>23.656759364214729</v>
      </c>
      <c r="O158" s="53">
        <f t="shared" si="74"/>
        <v>23.656759364214729</v>
      </c>
      <c r="P158" s="53">
        <f t="shared" si="74"/>
        <v>23.656759364214729</v>
      </c>
      <c r="Q158" s="53">
        <f t="shared" si="74"/>
        <v>23.656759364214729</v>
      </c>
      <c r="R158" s="53">
        <f t="shared" si="74"/>
        <v>23.656759364214729</v>
      </c>
      <c r="S158" s="53">
        <f t="shared" si="74"/>
        <v>23.656759364214729</v>
      </c>
      <c r="T158" s="53">
        <f t="shared" si="74"/>
        <v>23.656759364214729</v>
      </c>
      <c r="U158" s="53">
        <f t="shared" si="75"/>
        <v>23.656759364214729</v>
      </c>
      <c r="V158" s="53">
        <f t="shared" si="75"/>
        <v>23.656759364214729</v>
      </c>
      <c r="W158" s="53">
        <f t="shared" si="75"/>
        <v>23.656759364214729</v>
      </c>
      <c r="X158" s="53">
        <f t="shared" si="75"/>
        <v>23.656759364214729</v>
      </c>
      <c r="Y158" s="53">
        <f t="shared" si="75"/>
        <v>23.656759364214729</v>
      </c>
      <c r="Z158" s="53">
        <f t="shared" si="75"/>
        <v>23.656759364214729</v>
      </c>
      <c r="AA158" s="53">
        <f t="shared" si="75"/>
        <v>23.656759364214729</v>
      </c>
      <c r="AB158" s="53">
        <f t="shared" si="75"/>
        <v>23.656759364214729</v>
      </c>
      <c r="AC158" s="53">
        <f t="shared" si="75"/>
        <v>23.656759364214729</v>
      </c>
      <c r="AD158" s="53">
        <f t="shared" si="75"/>
        <v>23.656759364214729</v>
      </c>
      <c r="AE158" s="53">
        <f t="shared" si="75"/>
        <v>23.656759364214729</v>
      </c>
      <c r="AF158" s="53">
        <f t="shared" si="75"/>
        <v>23.656759364214729</v>
      </c>
      <c r="AG158" s="326">
        <f t="shared" si="75"/>
        <v>23.656759364214729</v>
      </c>
    </row>
    <row r="159" spans="1:33">
      <c r="A159" s="48" t="s">
        <v>271</v>
      </c>
      <c r="B159" s="52">
        <f>('Input Assumptions'!B$9/'EUI by End Use'!AE$3)*'EUI by End Use'!AH$3</f>
        <v>3.6882356967616712</v>
      </c>
      <c r="C159" s="46"/>
      <c r="D159" s="46"/>
      <c r="E159" s="46"/>
      <c r="F159" s="52">
        <f>('Input Assumptions'!$B$9/'EUI by End Use'!AE$3)*'EUI by End Use'!AW$3</f>
        <v>2.8519565503167708</v>
      </c>
      <c r="G159" s="52">
        <f t="shared" si="76"/>
        <v>0.83627914644490042</v>
      </c>
      <c r="H159" s="311"/>
      <c r="I159" s="311"/>
      <c r="J159" s="349">
        <f>G159/G$158</f>
        <v>0.43190929535898825</v>
      </c>
      <c r="K159" s="327">
        <f t="shared" si="74"/>
        <v>2.8519565503167708</v>
      </c>
      <c r="L159" s="320">
        <f t="shared" si="74"/>
        <v>2.8519565503167708</v>
      </c>
      <c r="M159" s="320">
        <f t="shared" si="74"/>
        <v>2.8519565503167708</v>
      </c>
      <c r="N159" s="320">
        <f t="shared" si="74"/>
        <v>2.8519565503167708</v>
      </c>
      <c r="O159" s="320">
        <f t="shared" si="74"/>
        <v>2.8519565503167708</v>
      </c>
      <c r="P159" s="320">
        <f t="shared" si="74"/>
        <v>2.8519565503167708</v>
      </c>
      <c r="Q159" s="320">
        <f t="shared" si="74"/>
        <v>2.8519565503167708</v>
      </c>
      <c r="R159" s="320">
        <f t="shared" si="74"/>
        <v>2.8519565503167708</v>
      </c>
      <c r="S159" s="320">
        <f t="shared" si="74"/>
        <v>2.8519565503167708</v>
      </c>
      <c r="T159" s="320">
        <f t="shared" si="74"/>
        <v>2.8519565503167708</v>
      </c>
      <c r="U159" s="320">
        <f t="shared" si="75"/>
        <v>2.8519565503167708</v>
      </c>
      <c r="V159" s="320">
        <f t="shared" si="75"/>
        <v>2.8519565503167708</v>
      </c>
      <c r="W159" s="320">
        <f t="shared" si="75"/>
        <v>2.8519565503167708</v>
      </c>
      <c r="X159" s="320">
        <f t="shared" si="75"/>
        <v>2.8519565503167708</v>
      </c>
      <c r="Y159" s="320">
        <f t="shared" si="75"/>
        <v>2.8519565503167708</v>
      </c>
      <c r="Z159" s="320">
        <f t="shared" si="75"/>
        <v>2.8519565503167708</v>
      </c>
      <c r="AA159" s="320">
        <f t="shared" si="75"/>
        <v>2.8519565503167708</v>
      </c>
      <c r="AB159" s="320">
        <f t="shared" si="75"/>
        <v>2.8519565503167708</v>
      </c>
      <c r="AC159" s="320">
        <f t="shared" si="75"/>
        <v>2.8519565503167708</v>
      </c>
      <c r="AD159" s="320">
        <f t="shared" si="75"/>
        <v>2.8519565503167708</v>
      </c>
      <c r="AE159" s="320">
        <f t="shared" si="75"/>
        <v>2.8519565503167708</v>
      </c>
      <c r="AF159" s="320">
        <f t="shared" si="75"/>
        <v>2.8519565503167708</v>
      </c>
      <c r="AG159" s="328">
        <f t="shared" si="75"/>
        <v>2.8519565503167708</v>
      </c>
    </row>
    <row r="160" spans="1:33">
      <c r="A160" s="48" t="s">
        <v>272</v>
      </c>
      <c r="B160" s="52">
        <f>('Input Assumptions'!B$9/'EUI by End Use'!AE$3)*'EUI by End Use'!AI$3</f>
        <v>5.6284064145770918</v>
      </c>
      <c r="C160" s="46"/>
      <c r="D160" s="46"/>
      <c r="E160" s="46"/>
      <c r="F160" s="52">
        <f>('Input Assumptions'!$B$9/'EUI by End Use'!AE$3)*'EUI by End Use'!AX$3</f>
        <v>4.8102681496237576</v>
      </c>
      <c r="G160" s="52">
        <f t="shared" si="76"/>
        <v>0.81813826495333419</v>
      </c>
      <c r="H160" s="311"/>
      <c r="I160" s="311"/>
      <c r="J160" s="349">
        <f>G160/G$158</f>
        <v>0.42254015662639938</v>
      </c>
      <c r="K160" s="327">
        <f t="shared" si="74"/>
        <v>4.8102681496237576</v>
      </c>
      <c r="L160" s="320">
        <f t="shared" si="74"/>
        <v>4.8102681496237576</v>
      </c>
      <c r="M160" s="320">
        <f t="shared" si="74"/>
        <v>4.8102681496237576</v>
      </c>
      <c r="N160" s="320">
        <f t="shared" si="74"/>
        <v>4.8102681496237576</v>
      </c>
      <c r="O160" s="320">
        <f t="shared" si="74"/>
        <v>4.8102681496237576</v>
      </c>
      <c r="P160" s="320">
        <f t="shared" si="74"/>
        <v>4.8102681496237576</v>
      </c>
      <c r="Q160" s="320">
        <f t="shared" si="74"/>
        <v>4.8102681496237576</v>
      </c>
      <c r="R160" s="320">
        <f t="shared" si="74"/>
        <v>4.8102681496237576</v>
      </c>
      <c r="S160" s="320">
        <f t="shared" si="74"/>
        <v>4.8102681496237576</v>
      </c>
      <c r="T160" s="320">
        <f t="shared" si="74"/>
        <v>4.8102681496237576</v>
      </c>
      <c r="U160" s="320">
        <f t="shared" si="75"/>
        <v>4.8102681496237576</v>
      </c>
      <c r="V160" s="320">
        <f t="shared" si="75"/>
        <v>4.8102681496237576</v>
      </c>
      <c r="W160" s="320">
        <f t="shared" si="75"/>
        <v>4.8102681496237576</v>
      </c>
      <c r="X160" s="320">
        <f t="shared" si="75"/>
        <v>4.8102681496237576</v>
      </c>
      <c r="Y160" s="320">
        <f t="shared" si="75"/>
        <v>4.8102681496237576</v>
      </c>
      <c r="Z160" s="320">
        <f t="shared" si="75"/>
        <v>4.8102681496237576</v>
      </c>
      <c r="AA160" s="320">
        <f t="shared" si="75"/>
        <v>4.8102681496237576</v>
      </c>
      <c r="AB160" s="320">
        <f t="shared" si="75"/>
        <v>4.8102681496237576</v>
      </c>
      <c r="AC160" s="320">
        <f t="shared" si="75"/>
        <v>4.8102681496237576</v>
      </c>
      <c r="AD160" s="320">
        <f t="shared" si="75"/>
        <v>4.8102681496237576</v>
      </c>
      <c r="AE160" s="320">
        <f t="shared" si="75"/>
        <v>4.8102681496237576</v>
      </c>
      <c r="AF160" s="320">
        <f t="shared" si="75"/>
        <v>4.8102681496237576</v>
      </c>
      <c r="AG160" s="328">
        <f t="shared" si="75"/>
        <v>4.8102681496237576</v>
      </c>
    </row>
    <row r="161" spans="1:33">
      <c r="A161" s="48" t="s">
        <v>273</v>
      </c>
      <c r="B161" s="52">
        <f>('Input Assumptions'!B$9/'EUI by End Use'!AE$3)*'EUI by End Use'!AJ$3</f>
        <v>5.6272274293947655</v>
      </c>
      <c r="C161" s="46"/>
      <c r="D161" s="46"/>
      <c r="E161" s="46"/>
      <c r="F161" s="52">
        <f>('Input Assumptions'!$B$9/'EUI by End Use'!AE$3)*'EUI by End Use'!AY$3</f>
        <v>5.3454069421624206</v>
      </c>
      <c r="G161" s="52">
        <f t="shared" si="76"/>
        <v>0.28182048723234487</v>
      </c>
      <c r="H161" s="311"/>
      <c r="I161" s="311"/>
      <c r="J161" s="349">
        <f>G161/G$158</f>
        <v>0.14555054801461392</v>
      </c>
      <c r="K161" s="327">
        <f t="shared" si="74"/>
        <v>5.3454069421624206</v>
      </c>
      <c r="L161" s="320">
        <f t="shared" si="74"/>
        <v>5.3454069421624206</v>
      </c>
      <c r="M161" s="320">
        <f t="shared" si="74"/>
        <v>5.3454069421624206</v>
      </c>
      <c r="N161" s="320">
        <f t="shared" si="74"/>
        <v>5.3454069421624206</v>
      </c>
      <c r="O161" s="320">
        <f t="shared" si="74"/>
        <v>5.3454069421624206</v>
      </c>
      <c r="P161" s="320">
        <f t="shared" si="74"/>
        <v>5.3454069421624206</v>
      </c>
      <c r="Q161" s="320">
        <f t="shared" si="74"/>
        <v>5.3454069421624206</v>
      </c>
      <c r="R161" s="320">
        <f t="shared" si="74"/>
        <v>5.3454069421624206</v>
      </c>
      <c r="S161" s="320">
        <f t="shared" si="74"/>
        <v>5.3454069421624206</v>
      </c>
      <c r="T161" s="320">
        <f t="shared" si="74"/>
        <v>5.3454069421624206</v>
      </c>
      <c r="U161" s="320">
        <f t="shared" si="75"/>
        <v>5.3454069421624206</v>
      </c>
      <c r="V161" s="320">
        <f t="shared" si="75"/>
        <v>5.3454069421624206</v>
      </c>
      <c r="W161" s="320">
        <f t="shared" si="75"/>
        <v>5.3454069421624206</v>
      </c>
      <c r="X161" s="320">
        <f t="shared" si="75"/>
        <v>5.3454069421624206</v>
      </c>
      <c r="Y161" s="320">
        <f t="shared" si="75"/>
        <v>5.3454069421624206</v>
      </c>
      <c r="Z161" s="320">
        <f t="shared" si="75"/>
        <v>5.3454069421624206</v>
      </c>
      <c r="AA161" s="320">
        <f t="shared" si="75"/>
        <v>5.3454069421624206</v>
      </c>
      <c r="AB161" s="320">
        <f t="shared" si="75"/>
        <v>5.3454069421624206</v>
      </c>
      <c r="AC161" s="320">
        <f t="shared" si="75"/>
        <v>5.3454069421624206</v>
      </c>
      <c r="AD161" s="320">
        <f t="shared" si="75"/>
        <v>5.3454069421624206</v>
      </c>
      <c r="AE161" s="320">
        <f t="shared" si="75"/>
        <v>5.3454069421624206</v>
      </c>
      <c r="AF161" s="320">
        <f t="shared" si="75"/>
        <v>5.3454069421624206</v>
      </c>
      <c r="AG161" s="328">
        <f t="shared" si="75"/>
        <v>5.3454069421624206</v>
      </c>
    </row>
    <row r="162" spans="1:33">
      <c r="A162" s="48" t="s">
        <v>274</v>
      </c>
      <c r="B162" s="52">
        <f>('Input Assumptions'!B$9/'EUI by End Use'!AE$3)*'EUI by End Use'!AK$3</f>
        <v>4.7444343055011418</v>
      </c>
      <c r="C162" s="46"/>
      <c r="D162" s="46"/>
      <c r="E162" s="46"/>
      <c r="F162" s="52">
        <f>('Input Assumptions'!$B$9/'EUI by End Use'!AE$3)*'EUI by End Use'!AZ$3</f>
        <v>4.7444343055011418</v>
      </c>
      <c r="G162" s="52">
        <f t="shared" si="76"/>
        <v>0</v>
      </c>
      <c r="H162" s="350"/>
      <c r="I162" s="350"/>
      <c r="J162" s="57"/>
      <c r="K162" s="325">
        <f t="shared" si="74"/>
        <v>4.7444343055011418</v>
      </c>
      <c r="L162" s="53">
        <f t="shared" si="74"/>
        <v>4.7444343055011418</v>
      </c>
      <c r="M162" s="53">
        <f t="shared" si="74"/>
        <v>4.7444343055011418</v>
      </c>
      <c r="N162" s="53">
        <f t="shared" si="74"/>
        <v>4.7444343055011418</v>
      </c>
      <c r="O162" s="53">
        <f t="shared" si="74"/>
        <v>4.7444343055011418</v>
      </c>
      <c r="P162" s="53">
        <f t="shared" si="74"/>
        <v>4.7444343055011418</v>
      </c>
      <c r="Q162" s="53">
        <f t="shared" si="74"/>
        <v>4.7444343055011418</v>
      </c>
      <c r="R162" s="53">
        <f t="shared" si="74"/>
        <v>4.7444343055011418</v>
      </c>
      <c r="S162" s="53">
        <f t="shared" si="74"/>
        <v>4.7444343055011418</v>
      </c>
      <c r="T162" s="53">
        <f t="shared" si="74"/>
        <v>4.7444343055011418</v>
      </c>
      <c r="U162" s="53">
        <f t="shared" si="75"/>
        <v>4.7444343055011418</v>
      </c>
      <c r="V162" s="53">
        <f t="shared" si="75"/>
        <v>4.7444343055011418</v>
      </c>
      <c r="W162" s="53">
        <f t="shared" si="75"/>
        <v>4.7444343055011418</v>
      </c>
      <c r="X162" s="53">
        <f t="shared" si="75"/>
        <v>4.7444343055011418</v>
      </c>
      <c r="Y162" s="53">
        <f t="shared" si="75"/>
        <v>4.7444343055011418</v>
      </c>
      <c r="Z162" s="53">
        <f t="shared" si="75"/>
        <v>4.7444343055011418</v>
      </c>
      <c r="AA162" s="53">
        <f t="shared" si="75"/>
        <v>4.7444343055011418</v>
      </c>
      <c r="AB162" s="53">
        <f t="shared" si="75"/>
        <v>4.7444343055011418</v>
      </c>
      <c r="AC162" s="53">
        <f t="shared" si="75"/>
        <v>4.7444343055011418</v>
      </c>
      <c r="AD162" s="53">
        <f t="shared" si="75"/>
        <v>4.7444343055011418</v>
      </c>
      <c r="AE162" s="53">
        <f t="shared" si="75"/>
        <v>4.7444343055011418</v>
      </c>
      <c r="AF162" s="53">
        <f t="shared" si="75"/>
        <v>4.7444343055011418</v>
      </c>
      <c r="AG162" s="326">
        <f t="shared" si="75"/>
        <v>4.7444343055011418</v>
      </c>
    </row>
    <row r="163" spans="1:33">
      <c r="A163" s="48" t="s">
        <v>275</v>
      </c>
      <c r="B163" s="52">
        <f>('Input Assumptions'!B$9/'EUI by End Use'!AE$3)*'EUI by End Use'!AL$3</f>
        <v>0.30148458315655136</v>
      </c>
      <c r="C163" s="46"/>
      <c r="D163" s="46"/>
      <c r="E163" s="46"/>
      <c r="F163" s="52">
        <f>('Input Assumptions'!$B$9/'EUI by End Use'!AE$3)*'EUI by End Use'!BA$3</f>
        <v>0.30148458315655136</v>
      </c>
      <c r="G163" s="52">
        <f t="shared" si="76"/>
        <v>0</v>
      </c>
      <c r="H163" s="46"/>
      <c r="I163" s="46"/>
      <c r="J163" s="57"/>
      <c r="K163" s="325">
        <f t="shared" si="74"/>
        <v>0.30148458315655136</v>
      </c>
      <c r="L163" s="53">
        <f t="shared" si="74"/>
        <v>0.30148458315655136</v>
      </c>
      <c r="M163" s="53">
        <f t="shared" si="74"/>
        <v>0.30148458315655136</v>
      </c>
      <c r="N163" s="53">
        <f t="shared" si="74"/>
        <v>0.30148458315655136</v>
      </c>
      <c r="O163" s="53">
        <f t="shared" si="74"/>
        <v>0.30148458315655136</v>
      </c>
      <c r="P163" s="53">
        <f t="shared" si="74"/>
        <v>0.30148458315655136</v>
      </c>
      <c r="Q163" s="53">
        <f t="shared" si="74"/>
        <v>0.30148458315655136</v>
      </c>
      <c r="R163" s="53">
        <f t="shared" si="74"/>
        <v>0.30148458315655136</v>
      </c>
      <c r="S163" s="53">
        <f t="shared" si="74"/>
        <v>0.30148458315655136</v>
      </c>
      <c r="T163" s="53">
        <f t="shared" si="74"/>
        <v>0.30148458315655136</v>
      </c>
      <c r="U163" s="53">
        <f t="shared" si="75"/>
        <v>0.30148458315655136</v>
      </c>
      <c r="V163" s="53">
        <f t="shared" si="75"/>
        <v>0.30148458315655136</v>
      </c>
      <c r="W163" s="53">
        <f t="shared" si="75"/>
        <v>0.30148458315655136</v>
      </c>
      <c r="X163" s="53">
        <f t="shared" si="75"/>
        <v>0.30148458315655136</v>
      </c>
      <c r="Y163" s="53">
        <f t="shared" si="75"/>
        <v>0.30148458315655136</v>
      </c>
      <c r="Z163" s="53">
        <f t="shared" si="75"/>
        <v>0.30148458315655136</v>
      </c>
      <c r="AA163" s="53">
        <f t="shared" si="75"/>
        <v>0.30148458315655136</v>
      </c>
      <c r="AB163" s="53">
        <f t="shared" si="75"/>
        <v>0.30148458315655136</v>
      </c>
      <c r="AC163" s="53">
        <f t="shared" si="75"/>
        <v>0.30148458315655136</v>
      </c>
      <c r="AD163" s="53">
        <f t="shared" si="75"/>
        <v>0.30148458315655136</v>
      </c>
      <c r="AE163" s="53">
        <f t="shared" si="75"/>
        <v>0.30148458315655136</v>
      </c>
      <c r="AF163" s="53">
        <f t="shared" si="75"/>
        <v>0.30148458315655136</v>
      </c>
      <c r="AG163" s="326">
        <f t="shared" si="75"/>
        <v>0.30148458315655136</v>
      </c>
    </row>
    <row r="164" spans="1:33">
      <c r="A164" s="48" t="s">
        <v>276</v>
      </c>
      <c r="B164" s="52">
        <f>('Input Assumptions'!B$9/'EUI by End Use'!AE$3)*'EUI by End Use'!AM$3</f>
        <v>0.94135512510335062</v>
      </c>
      <c r="C164" s="46"/>
      <c r="D164" s="46"/>
      <c r="E164" s="46"/>
      <c r="F164" s="52">
        <f>('Input Assumptions'!$B$9/'EUI by End Use'!AE$3)*'EUI by End Use'!BB$3</f>
        <v>0.94135512510335062</v>
      </c>
      <c r="G164" s="52">
        <f t="shared" si="76"/>
        <v>0</v>
      </c>
      <c r="H164" s="46"/>
      <c r="I164" s="46"/>
      <c r="J164" s="57"/>
      <c r="K164" s="325">
        <f t="shared" si="74"/>
        <v>0.94135512510335062</v>
      </c>
      <c r="L164" s="53">
        <f t="shared" si="74"/>
        <v>0.94135512510335062</v>
      </c>
      <c r="M164" s="53">
        <f t="shared" si="74"/>
        <v>0.94135512510335062</v>
      </c>
      <c r="N164" s="53">
        <f t="shared" si="74"/>
        <v>0.94135512510335062</v>
      </c>
      <c r="O164" s="53">
        <f t="shared" si="74"/>
        <v>0.94135512510335062</v>
      </c>
      <c r="P164" s="53">
        <f t="shared" si="74"/>
        <v>0.94135512510335062</v>
      </c>
      <c r="Q164" s="53">
        <f t="shared" si="74"/>
        <v>0.94135512510335062</v>
      </c>
      <c r="R164" s="53">
        <f t="shared" si="74"/>
        <v>0.94135512510335062</v>
      </c>
      <c r="S164" s="53">
        <f t="shared" si="74"/>
        <v>0.94135512510335062</v>
      </c>
      <c r="T164" s="53">
        <f t="shared" si="74"/>
        <v>0.94135512510335062</v>
      </c>
      <c r="U164" s="53">
        <f t="shared" si="75"/>
        <v>0.94135512510335062</v>
      </c>
      <c r="V164" s="53">
        <f t="shared" si="75"/>
        <v>0.94135512510335062</v>
      </c>
      <c r="W164" s="53">
        <f t="shared" si="75"/>
        <v>0.94135512510335062</v>
      </c>
      <c r="X164" s="53">
        <f t="shared" si="75"/>
        <v>0.94135512510335062</v>
      </c>
      <c r="Y164" s="53">
        <f t="shared" si="75"/>
        <v>0.94135512510335062</v>
      </c>
      <c r="Z164" s="53">
        <f t="shared" si="75"/>
        <v>0.94135512510335062</v>
      </c>
      <c r="AA164" s="53">
        <f t="shared" si="75"/>
        <v>0.94135512510335062</v>
      </c>
      <c r="AB164" s="53">
        <f t="shared" si="75"/>
        <v>0.94135512510335062</v>
      </c>
      <c r="AC164" s="53">
        <f t="shared" si="75"/>
        <v>0.94135512510335062</v>
      </c>
      <c r="AD164" s="53">
        <f t="shared" si="75"/>
        <v>0.94135512510335062</v>
      </c>
      <c r="AE164" s="53">
        <f t="shared" si="75"/>
        <v>0.94135512510335062</v>
      </c>
      <c r="AF164" s="53">
        <f t="shared" si="75"/>
        <v>0.94135512510335062</v>
      </c>
      <c r="AG164" s="326">
        <f t="shared" si="75"/>
        <v>0.94135512510335062</v>
      </c>
    </row>
    <row r="165" spans="1:33">
      <c r="A165" s="48" t="s">
        <v>277</v>
      </c>
      <c r="B165" s="52">
        <f>('Input Assumptions'!B$9/'EUI by End Use'!AE$3)*'EUI by End Use'!AN$3</f>
        <v>0.57899359902870939</v>
      </c>
      <c r="C165" s="46"/>
      <c r="D165" s="46"/>
      <c r="E165" s="46"/>
      <c r="F165" s="52">
        <f>('Input Assumptions'!$B$9/'EUI by End Use'!AE$3)*'EUI by End Use'!BC$3</f>
        <v>0.57899359902870939</v>
      </c>
      <c r="G165" s="52">
        <f t="shared" si="76"/>
        <v>0</v>
      </c>
      <c r="H165" s="46"/>
      <c r="I165" s="46"/>
      <c r="J165" s="57"/>
      <c r="K165" s="325">
        <f t="shared" si="74"/>
        <v>0.57899359902870939</v>
      </c>
      <c r="L165" s="53">
        <f t="shared" si="74"/>
        <v>0.57899359902870939</v>
      </c>
      <c r="M165" s="53">
        <f t="shared" si="74"/>
        <v>0.57899359902870939</v>
      </c>
      <c r="N165" s="53">
        <f t="shared" si="74"/>
        <v>0.57899359902870939</v>
      </c>
      <c r="O165" s="53">
        <f t="shared" si="74"/>
        <v>0.57899359902870939</v>
      </c>
      <c r="P165" s="53">
        <f t="shared" si="74"/>
        <v>0.57899359902870939</v>
      </c>
      <c r="Q165" s="53">
        <f t="shared" si="74"/>
        <v>0.57899359902870939</v>
      </c>
      <c r="R165" s="53">
        <f t="shared" si="74"/>
        <v>0.57899359902870939</v>
      </c>
      <c r="S165" s="53">
        <f t="shared" si="74"/>
        <v>0.57899359902870939</v>
      </c>
      <c r="T165" s="53">
        <f t="shared" si="74"/>
        <v>0.57899359902870939</v>
      </c>
      <c r="U165" s="53">
        <f t="shared" si="75"/>
        <v>0.57899359902870939</v>
      </c>
      <c r="V165" s="53">
        <f t="shared" si="75"/>
        <v>0.57899359902870939</v>
      </c>
      <c r="W165" s="53">
        <f t="shared" si="75"/>
        <v>0.57899359902870939</v>
      </c>
      <c r="X165" s="53">
        <f t="shared" si="75"/>
        <v>0.57899359902870939</v>
      </c>
      <c r="Y165" s="53">
        <f t="shared" si="75"/>
        <v>0.57899359902870939</v>
      </c>
      <c r="Z165" s="53">
        <f t="shared" si="75"/>
        <v>0.57899359902870939</v>
      </c>
      <c r="AA165" s="53">
        <f t="shared" si="75"/>
        <v>0.57899359902870939</v>
      </c>
      <c r="AB165" s="53">
        <f t="shared" si="75"/>
        <v>0.57899359902870939</v>
      </c>
      <c r="AC165" s="53">
        <f t="shared" si="75"/>
        <v>0.57899359902870939</v>
      </c>
      <c r="AD165" s="53">
        <f t="shared" si="75"/>
        <v>0.57899359902870939</v>
      </c>
      <c r="AE165" s="53">
        <f t="shared" si="75"/>
        <v>0.57899359902870939</v>
      </c>
      <c r="AF165" s="53">
        <f t="shared" si="75"/>
        <v>0.57899359902870939</v>
      </c>
      <c r="AG165" s="326">
        <f t="shared" si="75"/>
        <v>0.57899359902870939</v>
      </c>
    </row>
    <row r="166" spans="1:33">
      <c r="A166" s="48" t="s">
        <v>76</v>
      </c>
      <c r="B166" s="52">
        <f>B158-(SUM(B159:B165))</f>
        <v>4.0828601093220271</v>
      </c>
      <c r="C166" s="46"/>
      <c r="D166" s="46"/>
      <c r="E166" s="46"/>
      <c r="F166" s="52">
        <f>B166</f>
        <v>4.0828601093220271</v>
      </c>
      <c r="G166" s="52">
        <f t="shared" si="76"/>
        <v>0</v>
      </c>
      <c r="H166" s="46"/>
      <c r="I166" s="46"/>
      <c r="J166" s="57"/>
      <c r="K166" s="325">
        <f t="shared" si="74"/>
        <v>4.0828601093220271</v>
      </c>
      <c r="L166" s="53">
        <f t="shared" si="74"/>
        <v>4.0828601093220271</v>
      </c>
      <c r="M166" s="53">
        <f t="shared" si="74"/>
        <v>4.0828601093220271</v>
      </c>
      <c r="N166" s="53">
        <f t="shared" si="74"/>
        <v>4.0828601093220271</v>
      </c>
      <c r="O166" s="53">
        <f t="shared" si="74"/>
        <v>4.0828601093220271</v>
      </c>
      <c r="P166" s="53">
        <f t="shared" si="74"/>
        <v>4.0828601093220271</v>
      </c>
      <c r="Q166" s="53">
        <f t="shared" si="74"/>
        <v>4.0828601093220271</v>
      </c>
      <c r="R166" s="53">
        <f t="shared" si="74"/>
        <v>4.0828601093220271</v>
      </c>
      <c r="S166" s="53">
        <f t="shared" si="74"/>
        <v>4.0828601093220271</v>
      </c>
      <c r="T166" s="53">
        <f t="shared" si="74"/>
        <v>4.0828601093220271</v>
      </c>
      <c r="U166" s="53">
        <f t="shared" si="75"/>
        <v>4.0828601093220271</v>
      </c>
      <c r="V166" s="53">
        <f t="shared" si="75"/>
        <v>4.0828601093220271</v>
      </c>
      <c r="W166" s="53">
        <f t="shared" si="75"/>
        <v>4.0828601093220271</v>
      </c>
      <c r="X166" s="53">
        <f t="shared" si="75"/>
        <v>4.0828601093220271</v>
      </c>
      <c r="Y166" s="53">
        <f t="shared" si="75"/>
        <v>4.0828601093220271</v>
      </c>
      <c r="Z166" s="53">
        <f t="shared" si="75"/>
        <v>4.0828601093220271</v>
      </c>
      <c r="AA166" s="53">
        <f t="shared" si="75"/>
        <v>4.0828601093220271</v>
      </c>
      <c r="AB166" s="53">
        <f t="shared" si="75"/>
        <v>4.0828601093220271</v>
      </c>
      <c r="AC166" s="53">
        <f t="shared" si="75"/>
        <v>4.0828601093220271</v>
      </c>
      <c r="AD166" s="53">
        <f t="shared" si="75"/>
        <v>4.0828601093220271</v>
      </c>
      <c r="AE166" s="53">
        <f t="shared" si="75"/>
        <v>4.0828601093220271</v>
      </c>
      <c r="AF166" s="53">
        <f t="shared" si="75"/>
        <v>4.0828601093220271</v>
      </c>
      <c r="AG166" s="326">
        <f t="shared" si="75"/>
        <v>4.0828601093220271</v>
      </c>
    </row>
    <row r="167" spans="1:33">
      <c r="A167" s="48" t="s">
        <v>21</v>
      </c>
      <c r="B167" s="49">
        <f>(B156/1000)*B158</f>
        <v>560803199.74613893</v>
      </c>
      <c r="C167" s="46"/>
      <c r="D167" s="46"/>
      <c r="E167" s="46"/>
      <c r="F167" s="49">
        <f>(F156/1000)*F158</f>
        <v>518375640.446621</v>
      </c>
      <c r="G167" s="38">
        <f t="shared" si="76"/>
        <v>42427559.29951793</v>
      </c>
      <c r="H167" s="46"/>
      <c r="I167" s="46"/>
      <c r="J167" s="57"/>
      <c r="K167" s="182">
        <f t="shared" ref="K167:AF167" si="77">(K156/1000)*K158</f>
        <v>-15776030.516990121</v>
      </c>
      <c r="L167" s="49">
        <f t="shared" si="77"/>
        <v>-15776030.516990121</v>
      </c>
      <c r="M167" s="49">
        <f t="shared" si="77"/>
        <v>-15776030.516990121</v>
      </c>
      <c r="N167" s="49">
        <f t="shared" si="77"/>
        <v>-15776030.516990121</v>
      </c>
      <c r="O167" s="49">
        <f t="shared" si="77"/>
        <v>-15776030.516990121</v>
      </c>
      <c r="P167" s="49">
        <f t="shared" si="77"/>
        <v>-15776030.516990121</v>
      </c>
      <c r="Q167" s="49">
        <f t="shared" si="77"/>
        <v>-15776030.516990121</v>
      </c>
      <c r="R167" s="49">
        <f t="shared" si="77"/>
        <v>-15776030.516990121</v>
      </c>
      <c r="S167" s="49">
        <f t="shared" si="77"/>
        <v>-15776030.516990121</v>
      </c>
      <c r="T167" s="49">
        <f t="shared" si="77"/>
        <v>-15776030.516990121</v>
      </c>
      <c r="U167" s="49">
        <f t="shared" si="77"/>
        <v>-15776030.516990121</v>
      </c>
      <c r="V167" s="49">
        <f t="shared" si="77"/>
        <v>-15776030.516990121</v>
      </c>
      <c r="W167" s="49">
        <f t="shared" si="77"/>
        <v>-15776030.516990121</v>
      </c>
      <c r="X167" s="49">
        <f t="shared" si="77"/>
        <v>-15776030.516990121</v>
      </c>
      <c r="Y167" s="49">
        <f t="shared" si="77"/>
        <v>-15776030.516990121</v>
      </c>
      <c r="Z167" s="49">
        <f t="shared" si="77"/>
        <v>-15776030.516990121</v>
      </c>
      <c r="AA167" s="49">
        <f t="shared" si="77"/>
        <v>-15776030.516990121</v>
      </c>
      <c r="AB167" s="49">
        <f t="shared" si="77"/>
        <v>-15776030.516990121</v>
      </c>
      <c r="AC167" s="49">
        <f t="shared" si="77"/>
        <v>-15776030.516990121</v>
      </c>
      <c r="AD167" s="49">
        <f t="shared" si="77"/>
        <v>-15776030.516990121</v>
      </c>
      <c r="AE167" s="49">
        <f t="shared" si="77"/>
        <v>-15776030.516990121</v>
      </c>
      <c r="AF167" s="49">
        <f t="shared" si="77"/>
        <v>-15776030.516990121</v>
      </c>
      <c r="AG167" s="183">
        <f t="shared" ref="AG167" si="78">(AG156/1000)*AG158</f>
        <v>-15776030.516990121</v>
      </c>
    </row>
    <row r="168" spans="1:33" ht="13.5" thickBot="1">
      <c r="A168" s="48" t="s">
        <v>22</v>
      </c>
      <c r="B168" s="54">
        <f>B167/8760000</f>
        <v>64.018630108006732</v>
      </c>
      <c r="C168" s="46"/>
      <c r="D168" s="46"/>
      <c r="E168" s="46"/>
      <c r="F168" s="54">
        <f>F167/8760000</f>
        <v>59.175301420847148</v>
      </c>
      <c r="G168" s="55">
        <f t="shared" si="76"/>
        <v>4.843328687159584</v>
      </c>
      <c r="H168" s="46"/>
      <c r="I168" s="46"/>
      <c r="J168" s="57"/>
      <c r="K168" s="329">
        <f t="shared" ref="K168:AF168" si="79">K167/8760000</f>
        <v>-1.8009167256838039</v>
      </c>
      <c r="L168" s="56">
        <f t="shared" si="79"/>
        <v>-1.8009167256838039</v>
      </c>
      <c r="M168" s="56">
        <f t="shared" si="79"/>
        <v>-1.8009167256838039</v>
      </c>
      <c r="N168" s="56">
        <f t="shared" si="79"/>
        <v>-1.8009167256838039</v>
      </c>
      <c r="O168" s="56">
        <f t="shared" si="79"/>
        <v>-1.8009167256838039</v>
      </c>
      <c r="P168" s="56">
        <f t="shared" si="79"/>
        <v>-1.8009167256838039</v>
      </c>
      <c r="Q168" s="56">
        <f t="shared" si="79"/>
        <v>-1.8009167256838039</v>
      </c>
      <c r="R168" s="56">
        <f t="shared" si="79"/>
        <v>-1.8009167256838039</v>
      </c>
      <c r="S168" s="56">
        <f t="shared" si="79"/>
        <v>-1.8009167256838039</v>
      </c>
      <c r="T168" s="56">
        <f t="shared" si="79"/>
        <v>-1.8009167256838039</v>
      </c>
      <c r="U168" s="56">
        <f t="shared" si="79"/>
        <v>-1.8009167256838039</v>
      </c>
      <c r="V168" s="56">
        <f t="shared" si="79"/>
        <v>-1.8009167256838039</v>
      </c>
      <c r="W168" s="56">
        <f t="shared" si="79"/>
        <v>-1.8009167256838039</v>
      </c>
      <c r="X168" s="56">
        <f t="shared" si="79"/>
        <v>-1.8009167256838039</v>
      </c>
      <c r="Y168" s="56">
        <f t="shared" si="79"/>
        <v>-1.8009167256838039</v>
      </c>
      <c r="Z168" s="56">
        <f t="shared" si="79"/>
        <v>-1.8009167256838039</v>
      </c>
      <c r="AA168" s="56">
        <f t="shared" si="79"/>
        <v>-1.8009167256838039</v>
      </c>
      <c r="AB168" s="56">
        <f t="shared" si="79"/>
        <v>-1.8009167256838039</v>
      </c>
      <c r="AC168" s="56">
        <f t="shared" si="79"/>
        <v>-1.8009167256838039</v>
      </c>
      <c r="AD168" s="56">
        <f t="shared" si="79"/>
        <v>-1.8009167256838039</v>
      </c>
      <c r="AE168" s="56">
        <f t="shared" si="79"/>
        <v>-1.8009167256838039</v>
      </c>
      <c r="AF168" s="56">
        <f t="shared" si="79"/>
        <v>-1.8009167256838039</v>
      </c>
      <c r="AG168" s="330">
        <f t="shared" ref="AG168" si="80">AG167/8760000</f>
        <v>-1.8009167256838039</v>
      </c>
    </row>
    <row r="169" spans="1:33" ht="13.5" thickBot="1">
      <c r="A169" s="667" t="s">
        <v>23</v>
      </c>
      <c r="B169" s="668"/>
      <c r="C169" s="668"/>
      <c r="D169" s="668"/>
      <c r="E169" s="668"/>
      <c r="F169" s="668"/>
      <c r="G169" s="668"/>
      <c r="H169" s="668"/>
      <c r="I169" s="668"/>
      <c r="J169" s="669"/>
      <c r="K169" s="343">
        <v>2013</v>
      </c>
      <c r="L169" s="344">
        <v>2014</v>
      </c>
      <c r="M169" s="344">
        <v>2015</v>
      </c>
      <c r="N169" s="344">
        <v>2016</v>
      </c>
      <c r="O169" s="344">
        <v>2017</v>
      </c>
      <c r="P169" s="344">
        <v>2018</v>
      </c>
      <c r="Q169" s="344">
        <v>2019</v>
      </c>
      <c r="R169" s="344">
        <v>2020</v>
      </c>
      <c r="S169" s="344">
        <v>2021</v>
      </c>
      <c r="T169" s="344">
        <v>2022</v>
      </c>
      <c r="U169" s="344">
        <v>2023</v>
      </c>
      <c r="V169" s="344">
        <v>2024</v>
      </c>
      <c r="W169" s="344">
        <v>2025</v>
      </c>
      <c r="X169" s="344">
        <v>2026</v>
      </c>
      <c r="Y169" s="344">
        <v>2027</v>
      </c>
      <c r="Z169" s="344">
        <v>2028</v>
      </c>
      <c r="AA169" s="344">
        <v>2029</v>
      </c>
      <c r="AB169" s="344">
        <v>2030</v>
      </c>
      <c r="AC169" s="344">
        <v>2031</v>
      </c>
      <c r="AD169" s="344">
        <v>2032</v>
      </c>
      <c r="AE169" s="344">
        <v>2033</v>
      </c>
      <c r="AF169" s="344">
        <v>2034</v>
      </c>
      <c r="AG169" s="344">
        <v>2035</v>
      </c>
    </row>
    <row r="170" spans="1:33">
      <c r="A170" s="44" t="s">
        <v>9</v>
      </c>
      <c r="B170" s="45">
        <f>C153*B151</f>
        <v>29105.422640256551</v>
      </c>
      <c r="C170" s="46"/>
      <c r="D170" s="46"/>
      <c r="E170" s="46"/>
      <c r="F170" s="45">
        <f>B170</f>
        <v>29105.422640256551</v>
      </c>
      <c r="G170" s="46"/>
      <c r="H170" s="46"/>
      <c r="I170" s="46"/>
      <c r="J170" s="57"/>
      <c r="K170" s="182">
        <f t="shared" ref="K170:Z183" si="81">$F170</f>
        <v>29105.422640256551</v>
      </c>
      <c r="L170" s="49">
        <f t="shared" si="81"/>
        <v>29105.422640256551</v>
      </c>
      <c r="M170" s="49">
        <f t="shared" si="81"/>
        <v>29105.422640256551</v>
      </c>
      <c r="N170" s="49">
        <f t="shared" si="81"/>
        <v>29105.422640256551</v>
      </c>
      <c r="O170" s="49">
        <f t="shared" si="81"/>
        <v>29105.422640256551</v>
      </c>
      <c r="P170" s="49">
        <f t="shared" si="81"/>
        <v>29105.422640256551</v>
      </c>
      <c r="Q170" s="49">
        <f t="shared" si="81"/>
        <v>29105.422640256551</v>
      </c>
      <c r="R170" s="49">
        <f t="shared" si="81"/>
        <v>29105.422640256551</v>
      </c>
      <c r="S170" s="49">
        <f t="shared" si="81"/>
        <v>29105.422640256551</v>
      </c>
      <c r="T170" s="49">
        <f t="shared" si="81"/>
        <v>29105.422640256551</v>
      </c>
      <c r="U170" s="49">
        <f t="shared" si="81"/>
        <v>29105.422640256551</v>
      </c>
      <c r="V170" s="49">
        <f t="shared" si="81"/>
        <v>29105.422640256551</v>
      </c>
      <c r="W170" s="49">
        <f t="shared" si="81"/>
        <v>29105.422640256551</v>
      </c>
      <c r="X170" s="49">
        <f t="shared" si="81"/>
        <v>29105.422640256551</v>
      </c>
      <c r="Y170" s="49">
        <f t="shared" si="81"/>
        <v>29105.422640256551</v>
      </c>
      <c r="Z170" s="49">
        <f t="shared" si="81"/>
        <v>29105.422640256551</v>
      </c>
      <c r="AA170" s="49">
        <f t="shared" ref="U170:AG183" si="82">$F170</f>
        <v>29105.422640256551</v>
      </c>
      <c r="AB170" s="49">
        <f t="shared" si="82"/>
        <v>29105.422640256551</v>
      </c>
      <c r="AC170" s="49">
        <f t="shared" si="82"/>
        <v>29105.422640256551</v>
      </c>
      <c r="AD170" s="49">
        <f t="shared" si="82"/>
        <v>29105.422640256551</v>
      </c>
      <c r="AE170" s="49">
        <f t="shared" si="82"/>
        <v>29105.422640256551</v>
      </c>
      <c r="AF170" s="49">
        <f t="shared" si="82"/>
        <v>29105.422640256551</v>
      </c>
      <c r="AG170" s="183">
        <f t="shared" si="82"/>
        <v>29105.422640256551</v>
      </c>
    </row>
    <row r="171" spans="1:33">
      <c r="A171" s="48" t="s">
        <v>3</v>
      </c>
      <c r="B171" s="49">
        <f>D151*C153</f>
        <v>666872003.64621019</v>
      </c>
      <c r="C171" s="46"/>
      <c r="D171" s="46"/>
      <c r="E171" s="46"/>
      <c r="F171" s="49">
        <f>B171</f>
        <v>666872003.64621019</v>
      </c>
      <c r="G171" s="46"/>
      <c r="H171" s="46"/>
      <c r="I171" s="46"/>
      <c r="J171" s="57"/>
      <c r="K171" s="182">
        <f t="shared" si="81"/>
        <v>666872003.64621019</v>
      </c>
      <c r="L171" s="49">
        <f t="shared" si="81"/>
        <v>666872003.64621019</v>
      </c>
      <c r="M171" s="49">
        <f t="shared" si="81"/>
        <v>666872003.64621019</v>
      </c>
      <c r="N171" s="49">
        <f t="shared" si="81"/>
        <v>666872003.64621019</v>
      </c>
      <c r="O171" s="49">
        <f t="shared" si="81"/>
        <v>666872003.64621019</v>
      </c>
      <c r="P171" s="49">
        <f t="shared" si="81"/>
        <v>666872003.64621019</v>
      </c>
      <c r="Q171" s="49">
        <f t="shared" si="81"/>
        <v>666872003.64621019</v>
      </c>
      <c r="R171" s="49">
        <f t="shared" si="81"/>
        <v>666872003.64621019</v>
      </c>
      <c r="S171" s="49">
        <f t="shared" si="81"/>
        <v>666872003.64621019</v>
      </c>
      <c r="T171" s="49">
        <f t="shared" si="81"/>
        <v>666872003.64621019</v>
      </c>
      <c r="U171" s="49">
        <f t="shared" si="82"/>
        <v>666872003.64621019</v>
      </c>
      <c r="V171" s="49">
        <f t="shared" si="82"/>
        <v>666872003.64621019</v>
      </c>
      <c r="W171" s="49">
        <f t="shared" si="82"/>
        <v>666872003.64621019</v>
      </c>
      <c r="X171" s="49">
        <f t="shared" si="82"/>
        <v>666872003.64621019</v>
      </c>
      <c r="Y171" s="49">
        <f t="shared" si="82"/>
        <v>666872003.64621019</v>
      </c>
      <c r="Z171" s="49">
        <f t="shared" si="82"/>
        <v>666872003.64621019</v>
      </c>
      <c r="AA171" s="49">
        <f t="shared" si="82"/>
        <v>666872003.64621019</v>
      </c>
      <c r="AB171" s="49">
        <f t="shared" si="82"/>
        <v>666872003.64621019</v>
      </c>
      <c r="AC171" s="49">
        <f t="shared" si="82"/>
        <v>666872003.64621019</v>
      </c>
      <c r="AD171" s="49">
        <f t="shared" si="82"/>
        <v>666872003.64621019</v>
      </c>
      <c r="AE171" s="49">
        <f t="shared" si="82"/>
        <v>666872003.64621019</v>
      </c>
      <c r="AF171" s="49">
        <f t="shared" si="82"/>
        <v>666872003.64621019</v>
      </c>
      <c r="AG171" s="183">
        <f t="shared" si="82"/>
        <v>666872003.64621019</v>
      </c>
    </row>
    <row r="172" spans="1:33">
      <c r="A172" s="48" t="s">
        <v>12</v>
      </c>
      <c r="B172" s="49">
        <f>C151</f>
        <v>22912.294107141406</v>
      </c>
      <c r="C172" s="46"/>
      <c r="D172" s="46"/>
      <c r="E172" s="46"/>
      <c r="F172" s="49">
        <f>B172</f>
        <v>22912.294107141406</v>
      </c>
      <c r="G172" s="46"/>
      <c r="H172" s="46"/>
      <c r="I172" s="46"/>
      <c r="J172" s="57"/>
      <c r="K172" s="182">
        <f t="shared" si="81"/>
        <v>22912.294107141406</v>
      </c>
      <c r="L172" s="49">
        <f t="shared" si="81"/>
        <v>22912.294107141406</v>
      </c>
      <c r="M172" s="49">
        <f t="shared" si="81"/>
        <v>22912.294107141406</v>
      </c>
      <c r="N172" s="49">
        <f t="shared" si="81"/>
        <v>22912.294107141406</v>
      </c>
      <c r="O172" s="49">
        <f t="shared" si="81"/>
        <v>22912.294107141406</v>
      </c>
      <c r="P172" s="49">
        <f t="shared" si="81"/>
        <v>22912.294107141406</v>
      </c>
      <c r="Q172" s="49">
        <f t="shared" si="81"/>
        <v>22912.294107141406</v>
      </c>
      <c r="R172" s="49">
        <f t="shared" si="81"/>
        <v>22912.294107141406</v>
      </c>
      <c r="S172" s="49">
        <f t="shared" si="81"/>
        <v>22912.294107141406</v>
      </c>
      <c r="T172" s="49">
        <f t="shared" si="81"/>
        <v>22912.294107141406</v>
      </c>
      <c r="U172" s="49">
        <f t="shared" si="82"/>
        <v>22912.294107141406</v>
      </c>
      <c r="V172" s="49">
        <f t="shared" si="82"/>
        <v>22912.294107141406</v>
      </c>
      <c r="W172" s="49">
        <f t="shared" si="82"/>
        <v>22912.294107141406</v>
      </c>
      <c r="X172" s="49">
        <f t="shared" si="82"/>
        <v>22912.294107141406</v>
      </c>
      <c r="Y172" s="49">
        <f t="shared" si="82"/>
        <v>22912.294107141406</v>
      </c>
      <c r="Z172" s="49">
        <f t="shared" si="82"/>
        <v>22912.294107141406</v>
      </c>
      <c r="AA172" s="49">
        <f t="shared" si="82"/>
        <v>22912.294107141406</v>
      </c>
      <c r="AB172" s="49">
        <f t="shared" si="82"/>
        <v>22912.294107141406</v>
      </c>
      <c r="AC172" s="49">
        <f t="shared" si="82"/>
        <v>22912.294107141406</v>
      </c>
      <c r="AD172" s="49">
        <f t="shared" si="82"/>
        <v>22912.294107141406</v>
      </c>
      <c r="AE172" s="49">
        <f t="shared" si="82"/>
        <v>22912.294107141406</v>
      </c>
      <c r="AF172" s="49">
        <f t="shared" si="82"/>
        <v>22912.294107141406</v>
      </c>
      <c r="AG172" s="183">
        <f t="shared" si="82"/>
        <v>22912.294107141406</v>
      </c>
    </row>
    <row r="173" spans="1:33">
      <c r="A173" s="48" t="s">
        <v>278</v>
      </c>
      <c r="B173" s="52">
        <f>('Input Assumptions'!B$24/'EUI by End Use'!AE$4)*'EUI by End Use'!AG$4</f>
        <v>51.879078573836971</v>
      </c>
      <c r="C173" s="46"/>
      <c r="D173" s="46"/>
      <c r="E173" s="46"/>
      <c r="F173" s="52">
        <f>SUM(F174:F181)</f>
        <v>42.706424855778785</v>
      </c>
      <c r="G173" s="52">
        <f t="shared" ref="G173:G183" si="83">B173-F173</f>
        <v>9.1726537180581857</v>
      </c>
      <c r="H173" s="51"/>
      <c r="I173" s="51"/>
      <c r="J173" s="348" t="s">
        <v>281</v>
      </c>
      <c r="K173" s="331">
        <f t="shared" si="81"/>
        <v>42.706424855778785</v>
      </c>
      <c r="L173" s="52">
        <f t="shared" si="81"/>
        <v>42.706424855778785</v>
      </c>
      <c r="M173" s="52">
        <f t="shared" si="81"/>
        <v>42.706424855778785</v>
      </c>
      <c r="N173" s="52">
        <f t="shared" si="81"/>
        <v>42.706424855778785</v>
      </c>
      <c r="O173" s="52">
        <f t="shared" si="81"/>
        <v>42.706424855778785</v>
      </c>
      <c r="P173" s="52">
        <f t="shared" si="81"/>
        <v>42.706424855778785</v>
      </c>
      <c r="Q173" s="52">
        <f t="shared" si="81"/>
        <v>42.706424855778785</v>
      </c>
      <c r="R173" s="52">
        <f t="shared" si="81"/>
        <v>42.706424855778785</v>
      </c>
      <c r="S173" s="52">
        <f t="shared" si="81"/>
        <v>42.706424855778785</v>
      </c>
      <c r="T173" s="52">
        <f t="shared" si="81"/>
        <v>42.706424855778785</v>
      </c>
      <c r="U173" s="52">
        <f t="shared" si="82"/>
        <v>42.706424855778785</v>
      </c>
      <c r="V173" s="52">
        <f t="shared" si="82"/>
        <v>42.706424855778785</v>
      </c>
      <c r="W173" s="52">
        <f t="shared" si="82"/>
        <v>42.706424855778785</v>
      </c>
      <c r="X173" s="52">
        <f t="shared" si="82"/>
        <v>42.706424855778785</v>
      </c>
      <c r="Y173" s="52">
        <f t="shared" si="82"/>
        <v>42.706424855778785</v>
      </c>
      <c r="Z173" s="52">
        <f t="shared" si="82"/>
        <v>42.706424855778785</v>
      </c>
      <c r="AA173" s="52">
        <f t="shared" si="82"/>
        <v>42.706424855778785</v>
      </c>
      <c r="AB173" s="52">
        <f t="shared" si="82"/>
        <v>42.706424855778785</v>
      </c>
      <c r="AC173" s="52">
        <f t="shared" si="82"/>
        <v>42.706424855778785</v>
      </c>
      <c r="AD173" s="52">
        <f t="shared" si="82"/>
        <v>42.706424855778785</v>
      </c>
      <c r="AE173" s="52">
        <f t="shared" si="82"/>
        <v>42.706424855778785</v>
      </c>
      <c r="AF173" s="52">
        <f t="shared" si="82"/>
        <v>42.706424855778785</v>
      </c>
      <c r="AG173" s="332">
        <f t="shared" si="82"/>
        <v>42.706424855778785</v>
      </c>
    </row>
    <row r="174" spans="1:33">
      <c r="A174" s="48" t="s">
        <v>271</v>
      </c>
      <c r="B174" s="52">
        <f>('Input Assumptions'!B$24/'EUI by End Use'!AE$4)*'EUI by End Use'!AH$4</f>
        <v>7.8361609779351626</v>
      </c>
      <c r="C174" s="46"/>
      <c r="D174" s="46"/>
      <c r="E174" s="46"/>
      <c r="F174" s="52">
        <f>('Input Assumptions'!$B$24/'EUI by End Use'!AE$4)*'EUI by End Use'!AW$4</f>
        <v>3.0793174969152783</v>
      </c>
      <c r="G174" s="52">
        <f t="shared" si="83"/>
        <v>4.7568434810198843</v>
      </c>
      <c r="H174" s="311"/>
      <c r="I174" s="311"/>
      <c r="J174" s="349">
        <f>G174/G$173</f>
        <v>0.51858967178223414</v>
      </c>
      <c r="K174" s="327">
        <f t="shared" si="81"/>
        <v>3.0793174969152783</v>
      </c>
      <c r="L174" s="320">
        <f t="shared" si="81"/>
        <v>3.0793174969152783</v>
      </c>
      <c r="M174" s="320">
        <f t="shared" si="81"/>
        <v>3.0793174969152783</v>
      </c>
      <c r="N174" s="320">
        <f t="shared" si="81"/>
        <v>3.0793174969152783</v>
      </c>
      <c r="O174" s="320">
        <f t="shared" si="81"/>
        <v>3.0793174969152783</v>
      </c>
      <c r="P174" s="320">
        <f t="shared" si="81"/>
        <v>3.0793174969152783</v>
      </c>
      <c r="Q174" s="320">
        <f t="shared" si="81"/>
        <v>3.0793174969152783</v>
      </c>
      <c r="R174" s="320">
        <f t="shared" si="81"/>
        <v>3.0793174969152783</v>
      </c>
      <c r="S174" s="320">
        <f t="shared" si="81"/>
        <v>3.0793174969152783</v>
      </c>
      <c r="T174" s="320">
        <f t="shared" si="81"/>
        <v>3.0793174969152783</v>
      </c>
      <c r="U174" s="320">
        <f t="shared" si="82"/>
        <v>3.0793174969152783</v>
      </c>
      <c r="V174" s="320">
        <f t="shared" si="82"/>
        <v>3.0793174969152783</v>
      </c>
      <c r="W174" s="320">
        <f t="shared" si="82"/>
        <v>3.0793174969152783</v>
      </c>
      <c r="X174" s="320">
        <f t="shared" si="82"/>
        <v>3.0793174969152783</v>
      </c>
      <c r="Y174" s="320">
        <f t="shared" si="82"/>
        <v>3.0793174969152783</v>
      </c>
      <c r="Z174" s="320">
        <f t="shared" si="82"/>
        <v>3.0793174969152783</v>
      </c>
      <c r="AA174" s="320">
        <f t="shared" si="82"/>
        <v>3.0793174969152783</v>
      </c>
      <c r="AB174" s="320">
        <f t="shared" si="82"/>
        <v>3.0793174969152783</v>
      </c>
      <c r="AC174" s="320">
        <f t="shared" si="82"/>
        <v>3.0793174969152783</v>
      </c>
      <c r="AD174" s="320">
        <f t="shared" si="82"/>
        <v>3.0793174969152783</v>
      </c>
      <c r="AE174" s="320">
        <f t="shared" si="82"/>
        <v>3.0793174969152783</v>
      </c>
      <c r="AF174" s="320">
        <f t="shared" si="82"/>
        <v>3.0793174969152783</v>
      </c>
      <c r="AG174" s="328">
        <f t="shared" si="82"/>
        <v>3.0793174969152783</v>
      </c>
    </row>
    <row r="175" spans="1:33">
      <c r="A175" s="48" t="s">
        <v>272</v>
      </c>
      <c r="B175" s="52">
        <f>('Input Assumptions'!B$24/'EUI by End Use'!AE$4)*'EUI by End Use'!AI$4</f>
        <v>10.108363039033851</v>
      </c>
      <c r="C175" s="46"/>
      <c r="D175" s="46"/>
      <c r="E175" s="46"/>
      <c r="F175" s="52">
        <f>('Input Assumptions'!$B$24/'EUI by End Use'!AE$4)*'EUI by End Use'!AX$4</f>
        <v>7.6268041732914567</v>
      </c>
      <c r="G175" s="52">
        <f t="shared" si="83"/>
        <v>2.4815588657423939</v>
      </c>
      <c r="H175" s="311"/>
      <c r="I175" s="311"/>
      <c r="J175" s="349">
        <f>G175/G$173</f>
        <v>0.27053881483141062</v>
      </c>
      <c r="K175" s="327">
        <f t="shared" si="81"/>
        <v>7.6268041732914567</v>
      </c>
      <c r="L175" s="320">
        <f t="shared" si="81"/>
        <v>7.6268041732914567</v>
      </c>
      <c r="M175" s="320">
        <f t="shared" si="81"/>
        <v>7.6268041732914567</v>
      </c>
      <c r="N175" s="320">
        <f t="shared" si="81"/>
        <v>7.6268041732914567</v>
      </c>
      <c r="O175" s="320">
        <f t="shared" si="81"/>
        <v>7.6268041732914567</v>
      </c>
      <c r="P175" s="320">
        <f t="shared" si="81"/>
        <v>7.6268041732914567</v>
      </c>
      <c r="Q175" s="320">
        <f t="shared" si="81"/>
        <v>7.6268041732914567</v>
      </c>
      <c r="R175" s="320">
        <f t="shared" si="81"/>
        <v>7.6268041732914567</v>
      </c>
      <c r="S175" s="320">
        <f t="shared" si="81"/>
        <v>7.6268041732914567</v>
      </c>
      <c r="T175" s="320">
        <f t="shared" si="81"/>
        <v>7.6268041732914567</v>
      </c>
      <c r="U175" s="320">
        <f t="shared" si="82"/>
        <v>7.6268041732914567</v>
      </c>
      <c r="V175" s="320">
        <f t="shared" si="82"/>
        <v>7.6268041732914567</v>
      </c>
      <c r="W175" s="320">
        <f t="shared" si="82"/>
        <v>7.6268041732914567</v>
      </c>
      <c r="X175" s="320">
        <f t="shared" si="82"/>
        <v>7.6268041732914567</v>
      </c>
      <c r="Y175" s="320">
        <f t="shared" si="82"/>
        <v>7.6268041732914567</v>
      </c>
      <c r="Z175" s="320">
        <f t="shared" si="82"/>
        <v>7.6268041732914567</v>
      </c>
      <c r="AA175" s="320">
        <f t="shared" si="82"/>
        <v>7.6268041732914567</v>
      </c>
      <c r="AB175" s="320">
        <f t="shared" si="82"/>
        <v>7.6268041732914567</v>
      </c>
      <c r="AC175" s="320">
        <f t="shared" si="82"/>
        <v>7.6268041732914567</v>
      </c>
      <c r="AD175" s="320">
        <f t="shared" si="82"/>
        <v>7.6268041732914567</v>
      </c>
      <c r="AE175" s="320">
        <f t="shared" si="82"/>
        <v>7.6268041732914567</v>
      </c>
      <c r="AF175" s="320">
        <f t="shared" si="82"/>
        <v>7.6268041732914567</v>
      </c>
      <c r="AG175" s="328">
        <f t="shared" si="82"/>
        <v>7.6268041732914567</v>
      </c>
    </row>
    <row r="176" spans="1:33">
      <c r="A176" s="48" t="s">
        <v>273</v>
      </c>
      <c r="B176" s="52">
        <f>('Input Assumptions'!B$24/'EUI by End Use'!AE$4)*'EUI by End Use'!AJ$4</f>
        <v>7.2293088119348079</v>
      </c>
      <c r="C176" s="46"/>
      <c r="D176" s="46"/>
      <c r="E176" s="46"/>
      <c r="F176" s="52">
        <f>('Input Assumptions'!$B$24/'EUI by End Use'!AE$4)*'EUI by End Use'!AY$4</f>
        <v>5.2950574406388915</v>
      </c>
      <c r="G176" s="52">
        <f t="shared" si="83"/>
        <v>1.9342513712959164</v>
      </c>
      <c r="H176" s="311"/>
      <c r="I176" s="311"/>
      <c r="J176" s="349">
        <f>G176/G$173</f>
        <v>0.21087151338635618</v>
      </c>
      <c r="K176" s="327">
        <f t="shared" si="81"/>
        <v>5.2950574406388915</v>
      </c>
      <c r="L176" s="320">
        <f t="shared" si="81"/>
        <v>5.2950574406388915</v>
      </c>
      <c r="M176" s="320">
        <f t="shared" si="81"/>
        <v>5.2950574406388915</v>
      </c>
      <c r="N176" s="320">
        <f t="shared" si="81"/>
        <v>5.2950574406388915</v>
      </c>
      <c r="O176" s="320">
        <f t="shared" si="81"/>
        <v>5.2950574406388915</v>
      </c>
      <c r="P176" s="320">
        <f t="shared" si="81"/>
        <v>5.2950574406388915</v>
      </c>
      <c r="Q176" s="320">
        <f t="shared" si="81"/>
        <v>5.2950574406388915</v>
      </c>
      <c r="R176" s="320">
        <f t="shared" si="81"/>
        <v>5.2950574406388915</v>
      </c>
      <c r="S176" s="320">
        <f t="shared" si="81"/>
        <v>5.2950574406388915</v>
      </c>
      <c r="T176" s="320">
        <f t="shared" si="81"/>
        <v>5.2950574406388915</v>
      </c>
      <c r="U176" s="320">
        <f t="shared" si="82"/>
        <v>5.2950574406388915</v>
      </c>
      <c r="V176" s="320">
        <f t="shared" si="82"/>
        <v>5.2950574406388915</v>
      </c>
      <c r="W176" s="320">
        <f t="shared" si="82"/>
        <v>5.2950574406388915</v>
      </c>
      <c r="X176" s="320">
        <f t="shared" si="82"/>
        <v>5.2950574406388915</v>
      </c>
      <c r="Y176" s="320">
        <f t="shared" si="82"/>
        <v>5.2950574406388915</v>
      </c>
      <c r="Z176" s="320">
        <f t="shared" si="82"/>
        <v>5.2950574406388915</v>
      </c>
      <c r="AA176" s="320">
        <f t="shared" si="82"/>
        <v>5.2950574406388915</v>
      </c>
      <c r="AB176" s="320">
        <f t="shared" si="82"/>
        <v>5.2950574406388915</v>
      </c>
      <c r="AC176" s="320">
        <f t="shared" si="82"/>
        <v>5.2950574406388915</v>
      </c>
      <c r="AD176" s="320">
        <f t="shared" si="82"/>
        <v>5.2950574406388915</v>
      </c>
      <c r="AE176" s="320">
        <f t="shared" si="82"/>
        <v>5.2950574406388915</v>
      </c>
      <c r="AF176" s="320">
        <f t="shared" si="82"/>
        <v>5.2950574406388915</v>
      </c>
      <c r="AG176" s="328">
        <f t="shared" si="82"/>
        <v>5.2950574406388915</v>
      </c>
    </row>
    <row r="177" spans="1:33">
      <c r="A177" s="48" t="s">
        <v>274</v>
      </c>
      <c r="B177" s="52">
        <f>('Input Assumptions'!B$24/'EUI by End Use'!AE$4)*'EUI by End Use'!AK$4</f>
        <v>9.1294979595549499</v>
      </c>
      <c r="C177" s="46"/>
      <c r="D177" s="46"/>
      <c r="E177" s="46"/>
      <c r="F177" s="52">
        <f>('Input Assumptions'!$B$24/'EUI by End Use'!AE$4)*'EUI by End Use'!AZ$4</f>
        <v>9.1294979595549499</v>
      </c>
      <c r="G177" s="52">
        <f t="shared" si="83"/>
        <v>0</v>
      </c>
      <c r="H177" s="350"/>
      <c r="I177" s="350"/>
      <c r="J177" s="57"/>
      <c r="K177" s="331">
        <f t="shared" si="81"/>
        <v>9.1294979595549499</v>
      </c>
      <c r="L177" s="52">
        <f t="shared" si="81"/>
        <v>9.1294979595549499</v>
      </c>
      <c r="M177" s="52">
        <f t="shared" si="81"/>
        <v>9.1294979595549499</v>
      </c>
      <c r="N177" s="52">
        <f t="shared" si="81"/>
        <v>9.1294979595549499</v>
      </c>
      <c r="O177" s="52">
        <f t="shared" si="81"/>
        <v>9.1294979595549499</v>
      </c>
      <c r="P177" s="52">
        <f t="shared" si="81"/>
        <v>9.1294979595549499</v>
      </c>
      <c r="Q177" s="52">
        <f t="shared" si="81"/>
        <v>9.1294979595549499</v>
      </c>
      <c r="R177" s="52">
        <f t="shared" si="81"/>
        <v>9.1294979595549499</v>
      </c>
      <c r="S177" s="52">
        <f t="shared" si="81"/>
        <v>9.1294979595549499</v>
      </c>
      <c r="T177" s="52">
        <f t="shared" si="81"/>
        <v>9.1294979595549499</v>
      </c>
      <c r="U177" s="52">
        <f t="shared" si="82"/>
        <v>9.1294979595549499</v>
      </c>
      <c r="V177" s="52">
        <f t="shared" si="82"/>
        <v>9.1294979595549499</v>
      </c>
      <c r="W177" s="52">
        <f t="shared" si="82"/>
        <v>9.1294979595549499</v>
      </c>
      <c r="X177" s="52">
        <f t="shared" si="82"/>
        <v>9.1294979595549499</v>
      </c>
      <c r="Y177" s="52">
        <f t="shared" si="82"/>
        <v>9.1294979595549499</v>
      </c>
      <c r="Z177" s="52">
        <f t="shared" si="82"/>
        <v>9.1294979595549499</v>
      </c>
      <c r="AA177" s="52">
        <f t="shared" si="82"/>
        <v>9.1294979595549499</v>
      </c>
      <c r="AB177" s="52">
        <f t="shared" si="82"/>
        <v>9.1294979595549499</v>
      </c>
      <c r="AC177" s="52">
        <f t="shared" si="82"/>
        <v>9.1294979595549499</v>
      </c>
      <c r="AD177" s="52">
        <f t="shared" si="82"/>
        <v>9.1294979595549499</v>
      </c>
      <c r="AE177" s="52">
        <f t="shared" si="82"/>
        <v>9.1294979595549499</v>
      </c>
      <c r="AF177" s="52">
        <f t="shared" si="82"/>
        <v>9.1294979595549499</v>
      </c>
      <c r="AG177" s="332">
        <f t="shared" si="82"/>
        <v>9.1294979595549499</v>
      </c>
    </row>
    <row r="178" spans="1:33">
      <c r="A178" s="48" t="s">
        <v>275</v>
      </c>
      <c r="B178" s="52">
        <f>('Input Assumptions'!B$24/'EUI by End Use'!AE$4)*'EUI by End Use'!AL$4</f>
        <v>3.1395814311108778</v>
      </c>
      <c r="C178" s="46"/>
      <c r="D178" s="46"/>
      <c r="E178" s="46"/>
      <c r="F178" s="52">
        <f>('Input Assumptions'!$B$24/'EUI by End Use'!AE$4)*'EUI by End Use'!BA$4</f>
        <v>3.1395814311108778</v>
      </c>
      <c r="G178" s="52">
        <f t="shared" si="83"/>
        <v>0</v>
      </c>
      <c r="H178" s="46"/>
      <c r="I178" s="46"/>
      <c r="J178" s="57"/>
      <c r="K178" s="331">
        <f t="shared" si="81"/>
        <v>3.1395814311108778</v>
      </c>
      <c r="L178" s="52">
        <f t="shared" si="81"/>
        <v>3.1395814311108778</v>
      </c>
      <c r="M178" s="52">
        <f t="shared" si="81"/>
        <v>3.1395814311108778</v>
      </c>
      <c r="N178" s="52">
        <f t="shared" si="81"/>
        <v>3.1395814311108778</v>
      </c>
      <c r="O178" s="52">
        <f t="shared" si="81"/>
        <v>3.1395814311108778</v>
      </c>
      <c r="P178" s="52">
        <f t="shared" si="81"/>
        <v>3.1395814311108778</v>
      </c>
      <c r="Q178" s="52">
        <f t="shared" si="81"/>
        <v>3.1395814311108778</v>
      </c>
      <c r="R178" s="52">
        <f t="shared" si="81"/>
        <v>3.1395814311108778</v>
      </c>
      <c r="S178" s="52">
        <f t="shared" si="81"/>
        <v>3.1395814311108778</v>
      </c>
      <c r="T178" s="52">
        <f t="shared" si="81"/>
        <v>3.1395814311108778</v>
      </c>
      <c r="U178" s="52">
        <f t="shared" si="82"/>
        <v>3.1395814311108778</v>
      </c>
      <c r="V178" s="52">
        <f t="shared" si="82"/>
        <v>3.1395814311108778</v>
      </c>
      <c r="W178" s="52">
        <f t="shared" si="82"/>
        <v>3.1395814311108778</v>
      </c>
      <c r="X178" s="52">
        <f t="shared" si="82"/>
        <v>3.1395814311108778</v>
      </c>
      <c r="Y178" s="52">
        <f t="shared" si="82"/>
        <v>3.1395814311108778</v>
      </c>
      <c r="Z178" s="52">
        <f t="shared" si="82"/>
        <v>3.1395814311108778</v>
      </c>
      <c r="AA178" s="52">
        <f t="shared" si="82"/>
        <v>3.1395814311108778</v>
      </c>
      <c r="AB178" s="52">
        <f t="shared" si="82"/>
        <v>3.1395814311108778</v>
      </c>
      <c r="AC178" s="52">
        <f t="shared" si="82"/>
        <v>3.1395814311108778</v>
      </c>
      <c r="AD178" s="52">
        <f t="shared" si="82"/>
        <v>3.1395814311108778</v>
      </c>
      <c r="AE178" s="52">
        <f t="shared" si="82"/>
        <v>3.1395814311108778</v>
      </c>
      <c r="AF178" s="52">
        <f t="shared" si="82"/>
        <v>3.1395814311108778</v>
      </c>
      <c r="AG178" s="332">
        <f t="shared" si="82"/>
        <v>3.1395814311108778</v>
      </c>
    </row>
    <row r="179" spans="1:33">
      <c r="A179" s="48" t="s">
        <v>276</v>
      </c>
      <c r="B179" s="52">
        <f>('Input Assumptions'!B$24/'EUI by End Use'!AE$4)*'EUI by End Use'!AM$4</f>
        <v>1.1433707208210211</v>
      </c>
      <c r="C179" s="46"/>
      <c r="D179" s="46"/>
      <c r="E179" s="46"/>
      <c r="F179" s="52">
        <f>('Input Assumptions'!$B$24/'EUI by End Use'!AE$4)*'EUI by End Use'!BB$4</f>
        <v>1.1433707208210211</v>
      </c>
      <c r="G179" s="52">
        <f t="shared" si="83"/>
        <v>0</v>
      </c>
      <c r="H179" s="46"/>
      <c r="I179" s="46"/>
      <c r="J179" s="57"/>
      <c r="K179" s="331">
        <f t="shared" si="81"/>
        <v>1.1433707208210211</v>
      </c>
      <c r="L179" s="52">
        <f t="shared" si="81"/>
        <v>1.1433707208210211</v>
      </c>
      <c r="M179" s="52">
        <f t="shared" si="81"/>
        <v>1.1433707208210211</v>
      </c>
      <c r="N179" s="52">
        <f t="shared" si="81"/>
        <v>1.1433707208210211</v>
      </c>
      <c r="O179" s="52">
        <f t="shared" si="81"/>
        <v>1.1433707208210211</v>
      </c>
      <c r="P179" s="52">
        <f t="shared" si="81"/>
        <v>1.1433707208210211</v>
      </c>
      <c r="Q179" s="52">
        <f t="shared" si="81"/>
        <v>1.1433707208210211</v>
      </c>
      <c r="R179" s="52">
        <f t="shared" si="81"/>
        <v>1.1433707208210211</v>
      </c>
      <c r="S179" s="52">
        <f t="shared" si="81"/>
        <v>1.1433707208210211</v>
      </c>
      <c r="T179" s="52">
        <f t="shared" si="81"/>
        <v>1.1433707208210211</v>
      </c>
      <c r="U179" s="52">
        <f t="shared" si="82"/>
        <v>1.1433707208210211</v>
      </c>
      <c r="V179" s="52">
        <f t="shared" si="82"/>
        <v>1.1433707208210211</v>
      </c>
      <c r="W179" s="52">
        <f t="shared" si="82"/>
        <v>1.1433707208210211</v>
      </c>
      <c r="X179" s="52">
        <f t="shared" si="82"/>
        <v>1.1433707208210211</v>
      </c>
      <c r="Y179" s="52">
        <f t="shared" si="82"/>
        <v>1.1433707208210211</v>
      </c>
      <c r="Z179" s="52">
        <f t="shared" si="82"/>
        <v>1.1433707208210211</v>
      </c>
      <c r="AA179" s="52">
        <f t="shared" si="82"/>
        <v>1.1433707208210211</v>
      </c>
      <c r="AB179" s="52">
        <f t="shared" si="82"/>
        <v>1.1433707208210211</v>
      </c>
      <c r="AC179" s="52">
        <f t="shared" si="82"/>
        <v>1.1433707208210211</v>
      </c>
      <c r="AD179" s="52">
        <f t="shared" si="82"/>
        <v>1.1433707208210211</v>
      </c>
      <c r="AE179" s="52">
        <f t="shared" si="82"/>
        <v>1.1433707208210211</v>
      </c>
      <c r="AF179" s="52">
        <f t="shared" si="82"/>
        <v>1.1433707208210211</v>
      </c>
      <c r="AG179" s="332">
        <f t="shared" si="82"/>
        <v>1.1433707208210211</v>
      </c>
    </row>
    <row r="180" spans="1:33">
      <c r="A180" s="48" t="s">
        <v>277</v>
      </c>
      <c r="B180" s="52">
        <f>('Input Assumptions'!B$24/'EUI by End Use'!AE$4)*'EUI by End Use'!AN$4</f>
        <v>4.6662677640660553</v>
      </c>
      <c r="C180" s="46"/>
      <c r="D180" s="46"/>
      <c r="E180" s="46"/>
      <c r="F180" s="52">
        <f>('Input Assumptions'!$B$24/'EUI by End Use'!AE$4)*'EUI by End Use'!BC$4</f>
        <v>4.6662677640660553</v>
      </c>
      <c r="G180" s="52">
        <f t="shared" si="83"/>
        <v>0</v>
      </c>
      <c r="H180" s="46"/>
      <c r="I180" s="46"/>
      <c r="J180" s="57"/>
      <c r="K180" s="331">
        <f t="shared" si="81"/>
        <v>4.6662677640660553</v>
      </c>
      <c r="L180" s="52">
        <f t="shared" si="81"/>
        <v>4.6662677640660553</v>
      </c>
      <c r="M180" s="52">
        <f t="shared" si="81"/>
        <v>4.6662677640660553</v>
      </c>
      <c r="N180" s="52">
        <f t="shared" si="81"/>
        <v>4.6662677640660553</v>
      </c>
      <c r="O180" s="52">
        <f t="shared" si="81"/>
        <v>4.6662677640660553</v>
      </c>
      <c r="P180" s="52">
        <f t="shared" si="81"/>
        <v>4.6662677640660553</v>
      </c>
      <c r="Q180" s="52">
        <f t="shared" si="81"/>
        <v>4.6662677640660553</v>
      </c>
      <c r="R180" s="52">
        <f t="shared" si="81"/>
        <v>4.6662677640660553</v>
      </c>
      <c r="S180" s="52">
        <f t="shared" si="81"/>
        <v>4.6662677640660553</v>
      </c>
      <c r="T180" s="52">
        <f t="shared" si="81"/>
        <v>4.6662677640660553</v>
      </c>
      <c r="U180" s="52">
        <f t="shared" si="82"/>
        <v>4.6662677640660553</v>
      </c>
      <c r="V180" s="52">
        <f t="shared" si="82"/>
        <v>4.6662677640660553</v>
      </c>
      <c r="W180" s="52">
        <f t="shared" si="82"/>
        <v>4.6662677640660553</v>
      </c>
      <c r="X180" s="52">
        <f t="shared" si="82"/>
        <v>4.6662677640660553</v>
      </c>
      <c r="Y180" s="52">
        <f t="shared" si="82"/>
        <v>4.6662677640660553</v>
      </c>
      <c r="Z180" s="52">
        <f t="shared" si="82"/>
        <v>4.6662677640660553</v>
      </c>
      <c r="AA180" s="52">
        <f t="shared" si="82"/>
        <v>4.6662677640660553</v>
      </c>
      <c r="AB180" s="52">
        <f t="shared" si="82"/>
        <v>4.6662677640660553</v>
      </c>
      <c r="AC180" s="52">
        <f t="shared" si="82"/>
        <v>4.6662677640660553</v>
      </c>
      <c r="AD180" s="52">
        <f t="shared" si="82"/>
        <v>4.6662677640660553</v>
      </c>
      <c r="AE180" s="52">
        <f t="shared" si="82"/>
        <v>4.6662677640660553</v>
      </c>
      <c r="AF180" s="52">
        <f t="shared" si="82"/>
        <v>4.6662677640660553</v>
      </c>
      <c r="AG180" s="332">
        <f t="shared" si="82"/>
        <v>4.6662677640660553</v>
      </c>
    </row>
    <row r="181" spans="1:33">
      <c r="A181" s="48" t="s">
        <v>76</v>
      </c>
      <c r="B181" s="52">
        <f>B173-(SUM(B174:B180))</f>
        <v>8.6265278693802543</v>
      </c>
      <c r="C181" s="46"/>
      <c r="D181" s="46"/>
      <c r="E181" s="46"/>
      <c r="F181" s="52">
        <f>B181</f>
        <v>8.6265278693802543</v>
      </c>
      <c r="G181" s="52">
        <f t="shared" si="83"/>
        <v>0</v>
      </c>
      <c r="H181" s="46"/>
      <c r="I181" s="46"/>
      <c r="J181" s="57"/>
      <c r="K181" s="331">
        <f t="shared" si="81"/>
        <v>8.6265278693802543</v>
      </c>
      <c r="L181" s="52">
        <f t="shared" si="81"/>
        <v>8.6265278693802543</v>
      </c>
      <c r="M181" s="52">
        <f t="shared" si="81"/>
        <v>8.6265278693802543</v>
      </c>
      <c r="N181" s="52">
        <f t="shared" si="81"/>
        <v>8.6265278693802543</v>
      </c>
      <c r="O181" s="52">
        <f t="shared" si="81"/>
        <v>8.6265278693802543</v>
      </c>
      <c r="P181" s="52">
        <f t="shared" si="81"/>
        <v>8.6265278693802543</v>
      </c>
      <c r="Q181" s="52">
        <f t="shared" si="81"/>
        <v>8.6265278693802543</v>
      </c>
      <c r="R181" s="52">
        <f t="shared" si="81"/>
        <v>8.6265278693802543</v>
      </c>
      <c r="S181" s="52">
        <f t="shared" si="81"/>
        <v>8.6265278693802543</v>
      </c>
      <c r="T181" s="52">
        <f t="shared" si="81"/>
        <v>8.6265278693802543</v>
      </c>
      <c r="U181" s="52">
        <f t="shared" si="82"/>
        <v>8.6265278693802543</v>
      </c>
      <c r="V181" s="52">
        <f t="shared" si="82"/>
        <v>8.6265278693802543</v>
      </c>
      <c r="W181" s="52">
        <f t="shared" si="82"/>
        <v>8.6265278693802543</v>
      </c>
      <c r="X181" s="52">
        <f t="shared" si="82"/>
        <v>8.6265278693802543</v>
      </c>
      <c r="Y181" s="52">
        <f t="shared" si="82"/>
        <v>8.6265278693802543</v>
      </c>
      <c r="Z181" s="52">
        <f t="shared" si="82"/>
        <v>8.6265278693802543</v>
      </c>
      <c r="AA181" s="52">
        <f t="shared" si="82"/>
        <v>8.6265278693802543</v>
      </c>
      <c r="AB181" s="52">
        <f t="shared" si="82"/>
        <v>8.6265278693802543</v>
      </c>
      <c r="AC181" s="52">
        <f t="shared" si="82"/>
        <v>8.6265278693802543</v>
      </c>
      <c r="AD181" s="52">
        <f t="shared" si="82"/>
        <v>8.6265278693802543</v>
      </c>
      <c r="AE181" s="52">
        <f t="shared" si="82"/>
        <v>8.6265278693802543</v>
      </c>
      <c r="AF181" s="52">
        <f t="shared" si="82"/>
        <v>8.6265278693802543</v>
      </c>
      <c r="AG181" s="332">
        <f t="shared" si="82"/>
        <v>8.6265278693802543</v>
      </c>
    </row>
    <row r="182" spans="1:33">
      <c r="A182" s="48" t="s">
        <v>21</v>
      </c>
      <c r="B182" s="49">
        <f>(B171/1000)*B173</f>
        <v>34596705.075853832</v>
      </c>
      <c r="C182" s="46"/>
      <c r="D182" s="46"/>
      <c r="E182" s="46"/>
      <c r="F182" s="49">
        <f>(F171/1000)*F173</f>
        <v>28479719.112139512</v>
      </c>
      <c r="G182" s="38">
        <f t="shared" si="83"/>
        <v>6116985.9637143202</v>
      </c>
      <c r="H182" s="46"/>
      <c r="I182" s="46"/>
      <c r="J182" s="57"/>
      <c r="K182" s="182">
        <f t="shared" si="81"/>
        <v>28479719.112139512</v>
      </c>
      <c r="L182" s="49">
        <f t="shared" si="81"/>
        <v>28479719.112139512</v>
      </c>
      <c r="M182" s="49">
        <f t="shared" si="81"/>
        <v>28479719.112139512</v>
      </c>
      <c r="N182" s="49">
        <f t="shared" si="81"/>
        <v>28479719.112139512</v>
      </c>
      <c r="O182" s="49">
        <f t="shared" si="81"/>
        <v>28479719.112139512</v>
      </c>
      <c r="P182" s="49">
        <f t="shared" si="81"/>
        <v>28479719.112139512</v>
      </c>
      <c r="Q182" s="49">
        <f t="shared" si="81"/>
        <v>28479719.112139512</v>
      </c>
      <c r="R182" s="49">
        <f t="shared" si="81"/>
        <v>28479719.112139512</v>
      </c>
      <c r="S182" s="49">
        <f t="shared" si="81"/>
        <v>28479719.112139512</v>
      </c>
      <c r="T182" s="49">
        <f t="shared" si="81"/>
        <v>28479719.112139512</v>
      </c>
      <c r="U182" s="49">
        <f t="shared" si="82"/>
        <v>28479719.112139512</v>
      </c>
      <c r="V182" s="49">
        <f t="shared" si="82"/>
        <v>28479719.112139512</v>
      </c>
      <c r="W182" s="49">
        <f t="shared" si="82"/>
        <v>28479719.112139512</v>
      </c>
      <c r="X182" s="49">
        <f t="shared" si="82"/>
        <v>28479719.112139512</v>
      </c>
      <c r="Y182" s="49">
        <f t="shared" si="82"/>
        <v>28479719.112139512</v>
      </c>
      <c r="Z182" s="49">
        <f t="shared" si="82"/>
        <v>28479719.112139512</v>
      </c>
      <c r="AA182" s="49">
        <f t="shared" si="82"/>
        <v>28479719.112139512</v>
      </c>
      <c r="AB182" s="49">
        <f t="shared" si="82"/>
        <v>28479719.112139512</v>
      </c>
      <c r="AC182" s="49">
        <f t="shared" si="82"/>
        <v>28479719.112139512</v>
      </c>
      <c r="AD182" s="49">
        <f t="shared" si="82"/>
        <v>28479719.112139512</v>
      </c>
      <c r="AE182" s="49">
        <f t="shared" si="82"/>
        <v>28479719.112139512</v>
      </c>
      <c r="AF182" s="49">
        <f t="shared" si="82"/>
        <v>28479719.112139512</v>
      </c>
      <c r="AG182" s="183">
        <f t="shared" si="82"/>
        <v>28479719.112139512</v>
      </c>
    </row>
    <row r="183" spans="1:33" ht="13.5" thickBot="1">
      <c r="A183" s="48" t="s">
        <v>22</v>
      </c>
      <c r="B183" s="54">
        <f>B182/8760000</f>
        <v>3.9493955566043186</v>
      </c>
      <c r="C183" s="46"/>
      <c r="D183" s="46"/>
      <c r="E183" s="46"/>
      <c r="F183" s="54">
        <f>F182/8760000</f>
        <v>3.2511094876871587</v>
      </c>
      <c r="G183" s="71">
        <f t="shared" si="83"/>
        <v>0.69828606891715994</v>
      </c>
      <c r="H183" s="46"/>
      <c r="I183" s="46"/>
      <c r="J183" s="57"/>
      <c r="K183" s="338">
        <f t="shared" si="81"/>
        <v>3.2511094876871587</v>
      </c>
      <c r="L183" s="54">
        <f t="shared" si="81"/>
        <v>3.2511094876871587</v>
      </c>
      <c r="M183" s="54">
        <f t="shared" si="81"/>
        <v>3.2511094876871587</v>
      </c>
      <c r="N183" s="54">
        <f t="shared" si="81"/>
        <v>3.2511094876871587</v>
      </c>
      <c r="O183" s="54">
        <f t="shared" si="81"/>
        <v>3.2511094876871587</v>
      </c>
      <c r="P183" s="54">
        <f t="shared" si="81"/>
        <v>3.2511094876871587</v>
      </c>
      <c r="Q183" s="54">
        <f t="shared" si="81"/>
        <v>3.2511094876871587</v>
      </c>
      <c r="R183" s="54">
        <f t="shared" si="81"/>
        <v>3.2511094876871587</v>
      </c>
      <c r="S183" s="54">
        <f t="shared" si="81"/>
        <v>3.2511094876871587</v>
      </c>
      <c r="T183" s="54">
        <f t="shared" si="81"/>
        <v>3.2511094876871587</v>
      </c>
      <c r="U183" s="54">
        <f t="shared" si="82"/>
        <v>3.2511094876871587</v>
      </c>
      <c r="V183" s="54">
        <f t="shared" si="82"/>
        <v>3.2511094876871587</v>
      </c>
      <c r="W183" s="54">
        <f t="shared" si="82"/>
        <v>3.2511094876871587</v>
      </c>
      <c r="X183" s="54">
        <f t="shared" si="82"/>
        <v>3.2511094876871587</v>
      </c>
      <c r="Y183" s="54">
        <f t="shared" si="82"/>
        <v>3.2511094876871587</v>
      </c>
      <c r="Z183" s="54">
        <f t="shared" si="82"/>
        <v>3.2511094876871587</v>
      </c>
      <c r="AA183" s="54">
        <f t="shared" si="82"/>
        <v>3.2511094876871587</v>
      </c>
      <c r="AB183" s="54">
        <f t="shared" si="82"/>
        <v>3.2511094876871587</v>
      </c>
      <c r="AC183" s="54">
        <f t="shared" si="82"/>
        <v>3.2511094876871587</v>
      </c>
      <c r="AD183" s="54">
        <f t="shared" si="82"/>
        <v>3.2511094876871587</v>
      </c>
      <c r="AE183" s="54">
        <f t="shared" si="82"/>
        <v>3.2511094876871587</v>
      </c>
      <c r="AF183" s="54">
        <f t="shared" si="82"/>
        <v>3.2511094876871587</v>
      </c>
      <c r="AG183" s="339">
        <f t="shared" si="82"/>
        <v>3.2511094876871587</v>
      </c>
    </row>
    <row r="184" spans="1:33" ht="13.5" thickBot="1">
      <c r="A184" s="670"/>
      <c r="B184" s="671"/>
      <c r="C184" s="671"/>
      <c r="D184" s="671"/>
      <c r="E184" s="671"/>
      <c r="F184" s="671"/>
      <c r="G184" s="672"/>
      <c r="H184" s="673" t="s">
        <v>24</v>
      </c>
      <c r="I184" s="673"/>
      <c r="J184" s="674"/>
      <c r="K184" s="340">
        <f t="shared" ref="K184:AF184" si="84">$B183+K155</f>
        <v>2.0010789625420333</v>
      </c>
      <c r="L184" s="341">
        <f t="shared" si="84"/>
        <v>2.0010789625420333</v>
      </c>
      <c r="M184" s="341">
        <f t="shared" si="84"/>
        <v>2.0010789625420333</v>
      </c>
      <c r="N184" s="341">
        <f t="shared" si="84"/>
        <v>2.0010789625420333</v>
      </c>
      <c r="O184" s="341">
        <f t="shared" si="84"/>
        <v>2.0010789625420333</v>
      </c>
      <c r="P184" s="341">
        <f t="shared" si="84"/>
        <v>2.0010789625420333</v>
      </c>
      <c r="Q184" s="341">
        <f t="shared" si="84"/>
        <v>2.0010789625420333</v>
      </c>
      <c r="R184" s="341">
        <f t="shared" si="84"/>
        <v>2.0010789625420333</v>
      </c>
      <c r="S184" s="341">
        <f t="shared" si="84"/>
        <v>2.0010789625420333</v>
      </c>
      <c r="T184" s="341">
        <f t="shared" si="84"/>
        <v>2.0010789625420333</v>
      </c>
      <c r="U184" s="341">
        <f t="shared" si="84"/>
        <v>2.0010789625420333</v>
      </c>
      <c r="V184" s="341">
        <f t="shared" si="84"/>
        <v>2.0010789625420333</v>
      </c>
      <c r="W184" s="341">
        <f t="shared" si="84"/>
        <v>2.0010789625420333</v>
      </c>
      <c r="X184" s="341">
        <f t="shared" si="84"/>
        <v>2.0010789625420333</v>
      </c>
      <c r="Y184" s="341">
        <f t="shared" si="84"/>
        <v>2.0010789625420333</v>
      </c>
      <c r="Z184" s="341">
        <f t="shared" si="84"/>
        <v>2.0010789625420333</v>
      </c>
      <c r="AA184" s="341">
        <f t="shared" si="84"/>
        <v>2.0010789625420333</v>
      </c>
      <c r="AB184" s="341">
        <f t="shared" si="84"/>
        <v>2.0010789625420333</v>
      </c>
      <c r="AC184" s="341">
        <f t="shared" si="84"/>
        <v>2.0010789625420333</v>
      </c>
      <c r="AD184" s="341">
        <f t="shared" si="84"/>
        <v>2.0010789625420333</v>
      </c>
      <c r="AE184" s="341">
        <f t="shared" si="84"/>
        <v>2.0010789625420333</v>
      </c>
      <c r="AF184" s="341">
        <f t="shared" si="84"/>
        <v>2.0010789625420333</v>
      </c>
      <c r="AG184" s="342">
        <f t="shared" ref="AG184" si="85">$B183+AG155</f>
        <v>2.0010789625420333</v>
      </c>
    </row>
    <row r="185" spans="1:33" ht="13.5" thickBot="1">
      <c r="A185" s="62" t="s">
        <v>32</v>
      </c>
      <c r="B185" s="72">
        <f>B168+B183</f>
        <v>67.968025664611048</v>
      </c>
      <c r="C185" s="64"/>
      <c r="D185" s="64"/>
      <c r="E185" s="64"/>
      <c r="F185" s="72">
        <f>F168+F183</f>
        <v>62.426410908534308</v>
      </c>
      <c r="G185" s="73">
        <f>G168+G183</f>
        <v>5.5416147560767435</v>
      </c>
      <c r="H185" s="658" t="s">
        <v>26</v>
      </c>
      <c r="I185" s="659"/>
      <c r="J185" s="660"/>
      <c r="K185" s="333">
        <f t="shared" ref="K185:AF185" si="86">K168+K183</f>
        <v>1.4501927620033548</v>
      </c>
      <c r="L185" s="76">
        <f t="shared" si="86"/>
        <v>1.4501927620033548</v>
      </c>
      <c r="M185" s="76">
        <f t="shared" si="86"/>
        <v>1.4501927620033548</v>
      </c>
      <c r="N185" s="76">
        <f t="shared" si="86"/>
        <v>1.4501927620033548</v>
      </c>
      <c r="O185" s="76">
        <f t="shared" si="86"/>
        <v>1.4501927620033548</v>
      </c>
      <c r="P185" s="76">
        <f t="shared" si="86"/>
        <v>1.4501927620033548</v>
      </c>
      <c r="Q185" s="76">
        <f t="shared" si="86"/>
        <v>1.4501927620033548</v>
      </c>
      <c r="R185" s="76">
        <f t="shared" si="86"/>
        <v>1.4501927620033548</v>
      </c>
      <c r="S185" s="76">
        <f t="shared" si="86"/>
        <v>1.4501927620033548</v>
      </c>
      <c r="T185" s="76">
        <f t="shared" si="86"/>
        <v>1.4501927620033548</v>
      </c>
      <c r="U185" s="76">
        <f t="shared" si="86"/>
        <v>1.4501927620033548</v>
      </c>
      <c r="V185" s="76">
        <f t="shared" si="86"/>
        <v>1.4501927620033548</v>
      </c>
      <c r="W185" s="76">
        <f t="shared" si="86"/>
        <v>1.4501927620033548</v>
      </c>
      <c r="X185" s="76">
        <f t="shared" si="86"/>
        <v>1.4501927620033548</v>
      </c>
      <c r="Y185" s="76">
        <f t="shared" si="86"/>
        <v>1.4501927620033548</v>
      </c>
      <c r="Z185" s="76">
        <f t="shared" si="86"/>
        <v>1.4501927620033548</v>
      </c>
      <c r="AA185" s="76">
        <f t="shared" si="86"/>
        <v>1.4501927620033548</v>
      </c>
      <c r="AB185" s="76">
        <f t="shared" si="86"/>
        <v>1.4501927620033548</v>
      </c>
      <c r="AC185" s="76">
        <f t="shared" si="86"/>
        <v>1.4501927620033548</v>
      </c>
      <c r="AD185" s="76">
        <f t="shared" si="86"/>
        <v>1.4501927620033548</v>
      </c>
      <c r="AE185" s="76">
        <f t="shared" si="86"/>
        <v>1.4501927620033548</v>
      </c>
      <c r="AF185" s="76">
        <f t="shared" si="86"/>
        <v>1.4501927620033548</v>
      </c>
      <c r="AG185" s="334">
        <f t="shared" ref="AG185" si="87">AG168+AG183</f>
        <v>1.4501927620033548</v>
      </c>
    </row>
    <row r="186" spans="1:33" ht="13.5" thickBot="1">
      <c r="A186" s="661" t="s">
        <v>33</v>
      </c>
      <c r="B186" s="662"/>
      <c r="C186" s="662"/>
      <c r="D186" s="662"/>
      <c r="E186" s="662"/>
      <c r="F186" s="662"/>
      <c r="G186" s="663"/>
      <c r="H186" s="658" t="s">
        <v>27</v>
      </c>
      <c r="I186" s="659"/>
      <c r="J186" s="659"/>
      <c r="K186" s="335">
        <f t="shared" ref="K186:AF186" si="88">K184-K185</f>
        <v>0.55088620053867854</v>
      </c>
      <c r="L186" s="336">
        <f t="shared" si="88"/>
        <v>0.55088620053867854</v>
      </c>
      <c r="M186" s="336">
        <f t="shared" si="88"/>
        <v>0.55088620053867854</v>
      </c>
      <c r="N186" s="336">
        <f t="shared" si="88"/>
        <v>0.55088620053867854</v>
      </c>
      <c r="O186" s="336">
        <f t="shared" si="88"/>
        <v>0.55088620053867854</v>
      </c>
      <c r="P186" s="336">
        <f t="shared" si="88"/>
        <v>0.55088620053867854</v>
      </c>
      <c r="Q186" s="336">
        <f t="shared" si="88"/>
        <v>0.55088620053867854</v>
      </c>
      <c r="R186" s="336">
        <f t="shared" si="88"/>
        <v>0.55088620053867854</v>
      </c>
      <c r="S186" s="336">
        <f t="shared" si="88"/>
        <v>0.55088620053867854</v>
      </c>
      <c r="T186" s="336">
        <f t="shared" si="88"/>
        <v>0.55088620053867854</v>
      </c>
      <c r="U186" s="336">
        <f t="shared" si="88"/>
        <v>0.55088620053867854</v>
      </c>
      <c r="V186" s="336">
        <f t="shared" si="88"/>
        <v>0.55088620053867854</v>
      </c>
      <c r="W186" s="336">
        <f t="shared" si="88"/>
        <v>0.55088620053867854</v>
      </c>
      <c r="X186" s="336">
        <f t="shared" si="88"/>
        <v>0.55088620053867854</v>
      </c>
      <c r="Y186" s="336">
        <f t="shared" si="88"/>
        <v>0.55088620053867854</v>
      </c>
      <c r="Z186" s="336">
        <f t="shared" si="88"/>
        <v>0.55088620053867854</v>
      </c>
      <c r="AA186" s="336">
        <f t="shared" si="88"/>
        <v>0.55088620053867854</v>
      </c>
      <c r="AB186" s="336">
        <f t="shared" si="88"/>
        <v>0.55088620053867854</v>
      </c>
      <c r="AC186" s="336">
        <f t="shared" si="88"/>
        <v>0.55088620053867854</v>
      </c>
      <c r="AD186" s="336">
        <f t="shared" si="88"/>
        <v>0.55088620053867854</v>
      </c>
      <c r="AE186" s="336">
        <f t="shared" si="88"/>
        <v>0.55088620053867854</v>
      </c>
      <c r="AF186" s="336">
        <f t="shared" si="88"/>
        <v>0.55088620053867854</v>
      </c>
      <c r="AG186" s="337">
        <f t="shared" ref="AG186" si="89">AG184-AG185</f>
        <v>0.55088620053867854</v>
      </c>
    </row>
    <row r="188" spans="1:33">
      <c r="B188" s="77"/>
      <c r="F188" s="77"/>
    </row>
    <row r="189" spans="1:33">
      <c r="B189" s="146"/>
    </row>
    <row r="190" spans="1:33" ht="13.5" thickBot="1">
      <c r="B190" s="146"/>
    </row>
    <row r="191" spans="1:33" ht="39" thickBot="1">
      <c r="A191"/>
      <c r="B191"/>
      <c r="C191"/>
      <c r="D191"/>
      <c r="E191"/>
      <c r="F191"/>
      <c r="G191"/>
      <c r="H191"/>
      <c r="I191"/>
      <c r="J191" s="74" t="s">
        <v>34</v>
      </c>
      <c r="K191" s="343">
        <v>2013</v>
      </c>
      <c r="L191" s="344">
        <v>2014</v>
      </c>
      <c r="M191" s="344">
        <v>2015</v>
      </c>
      <c r="N191" s="344">
        <v>2016</v>
      </c>
      <c r="O191" s="344">
        <v>2017</v>
      </c>
      <c r="P191" s="344">
        <v>2018</v>
      </c>
      <c r="Q191" s="344">
        <v>2019</v>
      </c>
      <c r="R191" s="344">
        <v>2020</v>
      </c>
      <c r="S191" s="344">
        <v>2021</v>
      </c>
      <c r="T191" s="344">
        <v>2022</v>
      </c>
      <c r="U191" s="344">
        <v>2023</v>
      </c>
      <c r="V191" s="344">
        <v>2024</v>
      </c>
      <c r="W191" s="344">
        <v>2025</v>
      </c>
      <c r="X191" s="344">
        <v>2026</v>
      </c>
      <c r="Y191" s="344">
        <v>2027</v>
      </c>
      <c r="Z191" s="344">
        <v>2028</v>
      </c>
      <c r="AA191" s="344">
        <v>2029</v>
      </c>
      <c r="AB191" s="344">
        <v>2030</v>
      </c>
      <c r="AC191" s="344">
        <v>2031</v>
      </c>
      <c r="AD191" s="344">
        <v>2032</v>
      </c>
      <c r="AE191" s="344">
        <v>2033</v>
      </c>
      <c r="AF191" s="344">
        <v>2034</v>
      </c>
      <c r="AG191" s="344">
        <v>2035</v>
      </c>
    </row>
    <row r="192" spans="1:33">
      <c r="A192"/>
      <c r="B192"/>
      <c r="C192"/>
      <c r="D192"/>
      <c r="E192"/>
      <c r="F192"/>
      <c r="G192"/>
      <c r="H192"/>
      <c r="I192"/>
      <c r="J192" s="75" t="s">
        <v>4</v>
      </c>
      <c r="K192" s="76">
        <f t="shared" ref="K192:AF192" si="90">K36</f>
        <v>39.982761515615096</v>
      </c>
      <c r="L192" s="76">
        <f t="shared" si="90"/>
        <v>39.544606349056686</v>
      </c>
      <c r="M192" s="76">
        <f t="shared" si="90"/>
        <v>40.014896769876628</v>
      </c>
      <c r="N192" s="76">
        <f t="shared" ca="1" si="90"/>
        <v>40.561268753611792</v>
      </c>
      <c r="O192" s="76">
        <f t="shared" ca="1" si="90"/>
        <v>41.186179055294879</v>
      </c>
      <c r="P192" s="76">
        <f t="shared" ca="1" si="90"/>
        <v>41.712966236260193</v>
      </c>
      <c r="Q192" s="76">
        <f t="shared" ca="1" si="90"/>
        <v>42.423209682246288</v>
      </c>
      <c r="R192" s="76">
        <f t="shared" ca="1" si="90"/>
        <v>43.145902599041499</v>
      </c>
      <c r="S192" s="76">
        <f t="shared" ca="1" si="90"/>
        <v>43.937810971211839</v>
      </c>
      <c r="T192" s="76">
        <f t="shared" ca="1" si="90"/>
        <v>44.709348441727734</v>
      </c>
      <c r="U192" s="76">
        <f t="shared" ca="1" si="90"/>
        <v>45.592424172297193</v>
      </c>
      <c r="V192" s="76">
        <f t="shared" ca="1" si="90"/>
        <v>46.543747276595418</v>
      </c>
      <c r="W192" s="76">
        <f t="shared" ca="1" si="90"/>
        <v>47.555222220847298</v>
      </c>
      <c r="X192" s="76">
        <f t="shared" ca="1" si="90"/>
        <v>48.760148716345128</v>
      </c>
      <c r="Y192" s="76">
        <f t="shared" ca="1" si="90"/>
        <v>49.816570064880871</v>
      </c>
      <c r="Z192" s="76">
        <f t="shared" ca="1" si="90"/>
        <v>50.953301575995376</v>
      </c>
      <c r="AA192" s="76">
        <f t="shared" ca="1" si="90"/>
        <v>51.898883760099601</v>
      </c>
      <c r="AB192" s="76">
        <f t="shared" ca="1" si="90"/>
        <v>52.890412982435549</v>
      </c>
      <c r="AC192" s="76">
        <f t="shared" ca="1" si="90"/>
        <v>53.930700278961204</v>
      </c>
      <c r="AD192" s="76">
        <f t="shared" ca="1" si="90"/>
        <v>54.891101901919903</v>
      </c>
      <c r="AE192" s="76">
        <f t="shared" ca="1" si="90"/>
        <v>55.783976061803799</v>
      </c>
      <c r="AF192" s="76">
        <f t="shared" ca="1" si="90"/>
        <v>56.797082322745808</v>
      </c>
      <c r="AG192" s="76"/>
    </row>
    <row r="193" spans="1:33">
      <c r="A193"/>
      <c r="B193"/>
      <c r="C193"/>
      <c r="D193"/>
      <c r="E193"/>
      <c r="F193"/>
      <c r="G193"/>
      <c r="H193"/>
      <c r="I193"/>
      <c r="J193" s="75" t="s">
        <v>28</v>
      </c>
      <c r="K193" s="76">
        <f t="shared" ref="K193:AF193" si="91">K73</f>
        <v>0.30360839767889236</v>
      </c>
      <c r="L193" s="76">
        <f t="shared" si="91"/>
        <v>0.30778156162796516</v>
      </c>
      <c r="M193" s="76">
        <f t="shared" si="91"/>
        <v>0.30767176059733381</v>
      </c>
      <c r="N193" s="76">
        <f t="shared" ca="1" si="91"/>
        <v>0.30753878035632487</v>
      </c>
      <c r="O193" s="76">
        <f t="shared" ca="1" si="91"/>
        <v>0.30798587506839292</v>
      </c>
      <c r="P193" s="76">
        <f t="shared" ca="1" si="91"/>
        <v>0.30798948208101362</v>
      </c>
      <c r="Q193" s="76">
        <f t="shared" ca="1" si="91"/>
        <v>0.30832159139651877</v>
      </c>
      <c r="R193" s="76">
        <f t="shared" ca="1" si="91"/>
        <v>0.30818871229769973</v>
      </c>
      <c r="S193" s="76">
        <f t="shared" ca="1" si="91"/>
        <v>0.30806235648985381</v>
      </c>
      <c r="T193" s="76">
        <f t="shared" ca="1" si="91"/>
        <v>0.30835814254928068</v>
      </c>
      <c r="U193" s="76">
        <f t="shared" ca="1" si="91"/>
        <v>0.30857303316779972</v>
      </c>
      <c r="V193" s="76">
        <f t="shared" ca="1" si="91"/>
        <v>0.30803465147741971</v>
      </c>
      <c r="W193" s="76">
        <f t="shared" ca="1" si="91"/>
        <v>0.30799959259317861</v>
      </c>
      <c r="X193" s="76">
        <f t="shared" ca="1" si="91"/>
        <v>0.30800200900381508</v>
      </c>
      <c r="Y193" s="76">
        <f t="shared" ca="1" si="91"/>
        <v>0.30660512224823844</v>
      </c>
      <c r="Z193" s="76">
        <f t="shared" ca="1" si="91"/>
        <v>0.30644662471270423</v>
      </c>
      <c r="AA193" s="76">
        <f t="shared" ca="1" si="91"/>
        <v>0.3061326808214983</v>
      </c>
      <c r="AB193" s="76">
        <f t="shared" ca="1" si="91"/>
        <v>0.30564488591622591</v>
      </c>
      <c r="AC193" s="76">
        <f t="shared" ca="1" si="91"/>
        <v>0.30505983674949771</v>
      </c>
      <c r="AD193" s="76">
        <f t="shared" ca="1" si="91"/>
        <v>0.3050588325320609</v>
      </c>
      <c r="AE193" s="76">
        <f t="shared" ca="1" si="91"/>
        <v>0.30421176077999201</v>
      </c>
      <c r="AF193" s="76">
        <f t="shared" ca="1" si="91"/>
        <v>0.30339013922540314</v>
      </c>
      <c r="AG193" s="76"/>
    </row>
    <row r="194" spans="1:33">
      <c r="A194"/>
      <c r="B194"/>
      <c r="C194"/>
      <c r="D194"/>
      <c r="E194"/>
      <c r="F194"/>
      <c r="G194"/>
      <c r="H194"/>
      <c r="I194"/>
      <c r="J194" s="75" t="s">
        <v>29</v>
      </c>
      <c r="K194" s="76">
        <f t="shared" ref="K194:AF194" si="92">K110</f>
        <v>7.6030614527802367</v>
      </c>
      <c r="L194" s="76">
        <f t="shared" si="92"/>
        <v>8.0281416282271909</v>
      </c>
      <c r="M194" s="76">
        <f t="shared" si="92"/>
        <v>8.1543851916594789</v>
      </c>
      <c r="N194" s="76">
        <f t="shared" ca="1" si="92"/>
        <v>8.2755512047934765</v>
      </c>
      <c r="O194" s="76">
        <f t="shared" ca="1" si="92"/>
        <v>8.3840724228545795</v>
      </c>
      <c r="P194" s="76">
        <f t="shared" ca="1" si="92"/>
        <v>8.4906442957617649</v>
      </c>
      <c r="Q194" s="76">
        <f t="shared" ca="1" si="92"/>
        <v>8.591858821057615</v>
      </c>
      <c r="R194" s="76">
        <f t="shared" ca="1" si="92"/>
        <v>8.6935988701930373</v>
      </c>
      <c r="S194" s="76">
        <f t="shared" ca="1" si="92"/>
        <v>8.7985860794806783</v>
      </c>
      <c r="T194" s="76">
        <f t="shared" ca="1" si="92"/>
        <v>8.9173954105987612</v>
      </c>
      <c r="U194" s="76">
        <f t="shared" ca="1" si="92"/>
        <v>9.0461109080281403</v>
      </c>
      <c r="V194" s="76">
        <f t="shared" ca="1" si="92"/>
        <v>9.1820519926470112</v>
      </c>
      <c r="W194" s="76">
        <f t="shared" ca="1" si="92"/>
        <v>9.3246648407182651</v>
      </c>
      <c r="X194" s="76">
        <f t="shared" ca="1" si="92"/>
        <v>9.4766460257842819</v>
      </c>
      <c r="Y194" s="76">
        <f t="shared" ca="1" si="92"/>
        <v>9.6225066539412527</v>
      </c>
      <c r="Z194" s="76">
        <f t="shared" ca="1" si="92"/>
        <v>9.7681781572671404</v>
      </c>
      <c r="AA194" s="76">
        <f t="shared" ca="1" si="92"/>
        <v>9.9117150562538399</v>
      </c>
      <c r="AB194" s="76">
        <f t="shared" ca="1" si="92"/>
        <v>10.07387501394741</v>
      </c>
      <c r="AC194" s="76">
        <f t="shared" ca="1" si="92"/>
        <v>10.206361610029344</v>
      </c>
      <c r="AD194" s="76">
        <f t="shared" ca="1" si="92"/>
        <v>10.349824788576196</v>
      </c>
      <c r="AE194" s="76">
        <f t="shared" ca="1" si="92"/>
        <v>10.510614544587405</v>
      </c>
      <c r="AF194" s="76">
        <f t="shared" ca="1" si="92"/>
        <v>10.650926476823445</v>
      </c>
      <c r="AG194" s="76"/>
    </row>
    <row r="195" spans="1:33">
      <c r="A195"/>
      <c r="B195"/>
      <c r="C195"/>
      <c r="D195"/>
      <c r="E195"/>
      <c r="F195"/>
      <c r="G195"/>
      <c r="H195"/>
      <c r="I195"/>
      <c r="J195" s="75" t="s">
        <v>30</v>
      </c>
      <c r="K195" s="76">
        <f t="shared" ref="K195:AF195" si="93">K147</f>
        <v>18.833261426748969</v>
      </c>
      <c r="L195" s="76">
        <f t="shared" si="93"/>
        <v>18.427258961450125</v>
      </c>
      <c r="M195" s="76">
        <f t="shared" si="93"/>
        <v>18.734761680911923</v>
      </c>
      <c r="N195" s="76">
        <f t="shared" ca="1" si="93"/>
        <v>19.071126314858208</v>
      </c>
      <c r="O195" s="76">
        <f t="shared" ca="1" si="93"/>
        <v>19.393282363508035</v>
      </c>
      <c r="P195" s="76">
        <f t="shared" ca="1" si="93"/>
        <v>19.745011524053247</v>
      </c>
      <c r="Q195" s="76">
        <f t="shared" ca="1" si="93"/>
        <v>20.044478769541467</v>
      </c>
      <c r="R195" s="76">
        <f t="shared" ca="1" si="93"/>
        <v>20.361229690083839</v>
      </c>
      <c r="S195" s="76">
        <f t="shared" ca="1" si="93"/>
        <v>20.629868888055803</v>
      </c>
      <c r="T195" s="76">
        <f t="shared" ca="1" si="93"/>
        <v>20.967488088759527</v>
      </c>
      <c r="U195" s="76">
        <f t="shared" ca="1" si="93"/>
        <v>21.223683559592324</v>
      </c>
      <c r="V195" s="76">
        <f t="shared" ca="1" si="93"/>
        <v>21.53443141963756</v>
      </c>
      <c r="W195" s="76">
        <f t="shared" ca="1" si="93"/>
        <v>21.889763197321795</v>
      </c>
      <c r="X195" s="76">
        <f t="shared" ca="1" si="93"/>
        <v>22.279587728476237</v>
      </c>
      <c r="Y195" s="76">
        <f t="shared" ca="1" si="93"/>
        <v>22.696698370435257</v>
      </c>
      <c r="Z195" s="76">
        <f t="shared" ca="1" si="93"/>
        <v>23.082996624806736</v>
      </c>
      <c r="AA195" s="76">
        <f t="shared" ca="1" si="93"/>
        <v>23.478430049968797</v>
      </c>
      <c r="AB195" s="76">
        <f t="shared" ca="1" si="93"/>
        <v>23.858836348378656</v>
      </c>
      <c r="AC195" s="76">
        <f t="shared" ca="1" si="93"/>
        <v>24.315133391868827</v>
      </c>
      <c r="AD195" s="76">
        <f t="shared" ca="1" si="93"/>
        <v>24.745465895112062</v>
      </c>
      <c r="AE195" s="76">
        <f t="shared" ca="1" si="93"/>
        <v>25.1186224800643</v>
      </c>
      <c r="AF195" s="76">
        <f t="shared" ca="1" si="93"/>
        <v>25.586253235281827</v>
      </c>
      <c r="AG195" s="76"/>
    </row>
    <row r="196" spans="1:33">
      <c r="A196"/>
      <c r="B196"/>
      <c r="C196"/>
      <c r="D196"/>
      <c r="E196"/>
      <c r="F196"/>
      <c r="G196"/>
      <c r="H196"/>
      <c r="I196"/>
      <c r="J196" s="75" t="s">
        <v>280</v>
      </c>
      <c r="K196" s="76">
        <f t="shared" ref="K196:AF196" si="94">SUM(K192:K195)</f>
        <v>66.722692792823196</v>
      </c>
      <c r="L196" s="76">
        <f t="shared" si="94"/>
        <v>66.307788500361966</v>
      </c>
      <c r="M196" s="76">
        <f t="shared" si="94"/>
        <v>67.211715403045361</v>
      </c>
      <c r="N196" s="76">
        <f t="shared" ca="1" si="94"/>
        <v>68.215485053619801</v>
      </c>
      <c r="O196" s="76">
        <f t="shared" ca="1" si="94"/>
        <v>69.271519716725891</v>
      </c>
      <c r="P196" s="76">
        <f t="shared" ca="1" si="94"/>
        <v>70.256611538156221</v>
      </c>
      <c r="Q196" s="76">
        <f t="shared" ca="1" si="94"/>
        <v>71.367868864241885</v>
      </c>
      <c r="R196" s="76">
        <f t="shared" ca="1" si="94"/>
        <v>72.508919871616072</v>
      </c>
      <c r="S196" s="76">
        <f t="shared" ca="1" si="94"/>
        <v>73.674328295238183</v>
      </c>
      <c r="T196" s="76">
        <f t="shared" ca="1" si="94"/>
        <v>74.902590083635303</v>
      </c>
      <c r="U196" s="76">
        <f t="shared" ca="1" si="94"/>
        <v>76.170791673085461</v>
      </c>
      <c r="V196" s="76">
        <f t="shared" ca="1" si="94"/>
        <v>77.568265340357414</v>
      </c>
      <c r="W196" s="76">
        <f t="shared" ca="1" si="94"/>
        <v>79.07764985148053</v>
      </c>
      <c r="X196" s="76">
        <f t="shared" ca="1" si="94"/>
        <v>80.824384479609463</v>
      </c>
      <c r="Y196" s="76">
        <f t="shared" ca="1" si="94"/>
        <v>82.442380211505622</v>
      </c>
      <c r="Z196" s="76">
        <f t="shared" ca="1" si="94"/>
        <v>84.110922982781958</v>
      </c>
      <c r="AA196" s="76">
        <f t="shared" ca="1" si="94"/>
        <v>85.595161547143732</v>
      </c>
      <c r="AB196" s="76">
        <f t="shared" ca="1" si="94"/>
        <v>87.128769230677833</v>
      </c>
      <c r="AC196" s="76">
        <f t="shared" ca="1" si="94"/>
        <v>88.757255117608878</v>
      </c>
      <c r="AD196" s="76">
        <f t="shared" ca="1" si="94"/>
        <v>90.291451418140227</v>
      </c>
      <c r="AE196" s="76">
        <f t="shared" ca="1" si="94"/>
        <v>91.717424847235506</v>
      </c>
      <c r="AF196" s="76">
        <f t="shared" ca="1" si="94"/>
        <v>93.337652174076496</v>
      </c>
      <c r="AG196" s="76"/>
    </row>
    <row r="197" spans="1:33" ht="13.5" thickBot="1">
      <c r="A197"/>
      <c r="B197"/>
      <c r="C197"/>
      <c r="D197"/>
      <c r="E197"/>
      <c r="F197"/>
      <c r="G197"/>
      <c r="H197"/>
      <c r="I197"/>
    </row>
    <row r="198" spans="1:33" ht="39" thickBot="1">
      <c r="A198"/>
      <c r="B198"/>
      <c r="C198"/>
      <c r="D198"/>
      <c r="E198"/>
      <c r="F198"/>
      <c r="G198"/>
      <c r="H198"/>
      <c r="I198"/>
      <c r="J198" s="74" t="s">
        <v>35</v>
      </c>
      <c r="K198" s="343">
        <v>2013</v>
      </c>
      <c r="L198" s="344">
        <v>2014</v>
      </c>
      <c r="M198" s="344">
        <v>2015</v>
      </c>
      <c r="N198" s="344">
        <v>2016</v>
      </c>
      <c r="O198" s="344">
        <v>2017</v>
      </c>
      <c r="P198" s="344">
        <v>2018</v>
      </c>
      <c r="Q198" s="344">
        <v>2019</v>
      </c>
      <c r="R198" s="344">
        <v>2020</v>
      </c>
      <c r="S198" s="344">
        <v>2021</v>
      </c>
      <c r="T198" s="344">
        <v>2022</v>
      </c>
      <c r="U198" s="344">
        <v>2023</v>
      </c>
      <c r="V198" s="344">
        <v>2024</v>
      </c>
      <c r="W198" s="344">
        <v>2025</v>
      </c>
      <c r="X198" s="344">
        <v>2026</v>
      </c>
      <c r="Y198" s="344">
        <v>2027</v>
      </c>
      <c r="Z198" s="344">
        <v>2028</v>
      </c>
      <c r="AA198" s="344">
        <v>2029</v>
      </c>
      <c r="AB198" s="344">
        <v>2030</v>
      </c>
      <c r="AC198" s="344">
        <v>2031</v>
      </c>
      <c r="AD198" s="344">
        <v>2032</v>
      </c>
      <c r="AE198" s="344">
        <v>2033</v>
      </c>
      <c r="AF198" s="344">
        <v>2034</v>
      </c>
      <c r="AG198" s="344">
        <v>2035</v>
      </c>
    </row>
    <row r="199" spans="1:33">
      <c r="A199"/>
      <c r="B199"/>
      <c r="C199"/>
      <c r="D199"/>
      <c r="E199"/>
      <c r="F199"/>
      <c r="G199"/>
      <c r="H199"/>
      <c r="I199"/>
      <c r="J199" s="75" t="s">
        <v>4</v>
      </c>
      <c r="K199" s="76">
        <f t="shared" ref="K199:AF199" si="95">K37</f>
        <v>36.809516530387334</v>
      </c>
      <c r="L199" s="76">
        <f t="shared" si="95"/>
        <v>36.404509987659814</v>
      </c>
      <c r="M199" s="76">
        <f t="shared" si="95"/>
        <v>36.839220592376059</v>
      </c>
      <c r="N199" s="76">
        <f t="shared" ca="1" si="95"/>
        <v>37.344256810284627</v>
      </c>
      <c r="O199" s="76">
        <f t="shared" ca="1" si="95"/>
        <v>37.921889530645871</v>
      </c>
      <c r="P199" s="76">
        <f t="shared" ca="1" si="95"/>
        <v>38.408822633801449</v>
      </c>
      <c r="Q199" s="76">
        <f t="shared" ca="1" si="95"/>
        <v>39.065332620464723</v>
      </c>
      <c r="R199" s="76">
        <f t="shared" ca="1" si="95"/>
        <v>39.733350213373498</v>
      </c>
      <c r="S199" s="76">
        <f t="shared" ca="1" si="95"/>
        <v>40.465346767217461</v>
      </c>
      <c r="T199" s="76">
        <f t="shared" ca="1" si="95"/>
        <v>41.178513579725468</v>
      </c>
      <c r="U199" s="76">
        <f t="shared" ca="1" si="95"/>
        <v>41.994780226570619</v>
      </c>
      <c r="V199" s="76">
        <f t="shared" ca="1" si="95"/>
        <v>42.874130992909848</v>
      </c>
      <c r="W199" s="76">
        <f t="shared" ca="1" si="95"/>
        <v>43.809082812477975</v>
      </c>
      <c r="X199" s="76">
        <f t="shared" ca="1" si="95"/>
        <v>44.922850608520385</v>
      </c>
      <c r="Y199" s="76">
        <f t="shared" ca="1" si="95"/>
        <v>45.899348412699453</v>
      </c>
      <c r="Z199" s="76">
        <f t="shared" ca="1" si="95"/>
        <v>46.950080515077914</v>
      </c>
      <c r="AA199" s="76">
        <f t="shared" ca="1" si="95"/>
        <v>47.824124690471052</v>
      </c>
      <c r="AB199" s="76">
        <f t="shared" ca="1" si="95"/>
        <v>48.740639781473753</v>
      </c>
      <c r="AC199" s="76">
        <f t="shared" ca="1" si="95"/>
        <v>49.702224155152578</v>
      </c>
      <c r="AD199" s="76">
        <f t="shared" ca="1" si="95"/>
        <v>50.589966604932741</v>
      </c>
      <c r="AE199" s="76">
        <f t="shared" ca="1" si="95"/>
        <v>51.415290381040954</v>
      </c>
      <c r="AF199" s="76">
        <f t="shared" ca="1" si="95"/>
        <v>52.35175010005473</v>
      </c>
      <c r="AG199" s="76"/>
    </row>
    <row r="200" spans="1:33">
      <c r="A200"/>
      <c r="B200"/>
      <c r="C200"/>
      <c r="D200"/>
      <c r="E200"/>
      <c r="F200"/>
      <c r="G200"/>
      <c r="H200"/>
      <c r="I200"/>
      <c r="J200" s="75" t="s">
        <v>28</v>
      </c>
      <c r="K200" s="76">
        <f t="shared" ref="K200:AF200" si="96">K74</f>
        <v>0.27217027820872675</v>
      </c>
      <c r="L200" s="76">
        <f t="shared" si="96"/>
        <v>0.27602772148966487</v>
      </c>
      <c r="M200" s="76">
        <f t="shared" si="96"/>
        <v>0.27592622745467899</v>
      </c>
      <c r="N200" s="76">
        <f t="shared" ca="1" si="96"/>
        <v>0.27580330783219653</v>
      </c>
      <c r="O200" s="76">
        <f t="shared" ca="1" si="96"/>
        <v>0.27621657759922624</v>
      </c>
      <c r="P200" s="76">
        <f t="shared" ca="1" si="96"/>
        <v>0.2762199117233507</v>
      </c>
      <c r="Q200" s="76">
        <f t="shared" ca="1" si="96"/>
        <v>0.27652689531260477</v>
      </c>
      <c r="R200" s="76">
        <f t="shared" ca="1" si="96"/>
        <v>0.27640406918040106</v>
      </c>
      <c r="S200" s="76">
        <f t="shared" ca="1" si="96"/>
        <v>0.27628727281967069</v>
      </c>
      <c r="T200" s="76">
        <f t="shared" ca="1" si="96"/>
        <v>0.2765606811883462</v>
      </c>
      <c r="U200" s="76">
        <f t="shared" ca="1" si="96"/>
        <v>0.27675931425971817</v>
      </c>
      <c r="V200" s="76">
        <f t="shared" ca="1" si="96"/>
        <v>0.27626166382961748</v>
      </c>
      <c r="W200" s="76">
        <f t="shared" ca="1" si="96"/>
        <v>0.27622925732483999</v>
      </c>
      <c r="X200" s="76">
        <f t="shared" ca="1" si="96"/>
        <v>0.27623149092195898</v>
      </c>
      <c r="Y200" s="76">
        <f t="shared" ca="1" si="96"/>
        <v>0.27494028561699413</v>
      </c>
      <c r="Z200" s="76">
        <f t="shared" ca="1" si="96"/>
        <v>0.27479377921059533</v>
      </c>
      <c r="AA200" s="76">
        <f t="shared" ca="1" si="96"/>
        <v>0.27450358674068465</v>
      </c>
      <c r="AB200" s="76">
        <f t="shared" ca="1" si="96"/>
        <v>0.27405269595307558</v>
      </c>
      <c r="AC200" s="76">
        <f t="shared" ca="1" si="96"/>
        <v>0.27351190867398595</v>
      </c>
      <c r="AD200" s="76">
        <f t="shared" ca="1" si="96"/>
        <v>0.27351098043060718</v>
      </c>
      <c r="AE200" s="76">
        <f t="shared" ca="1" si="96"/>
        <v>0.27272799388170421</v>
      </c>
      <c r="AF200" s="76">
        <f t="shared" ca="1" si="96"/>
        <v>0.27196853209589861</v>
      </c>
      <c r="AG200" s="76"/>
    </row>
    <row r="201" spans="1:33">
      <c r="A201"/>
      <c r="B201"/>
      <c r="C201"/>
      <c r="D201"/>
      <c r="E201"/>
      <c r="F201"/>
      <c r="G201"/>
      <c r="H201"/>
      <c r="I201"/>
      <c r="J201" s="75" t="s">
        <v>29</v>
      </c>
      <c r="K201" s="76">
        <f t="shared" ref="K201:AF201" si="97">K111</f>
        <v>6.976300629141523</v>
      </c>
      <c r="L201" s="76">
        <f t="shared" si="97"/>
        <v>7.3692213690521093</v>
      </c>
      <c r="M201" s="76">
        <f t="shared" si="97"/>
        <v>7.4859139772185737</v>
      </c>
      <c r="N201" s="76">
        <f t="shared" ca="1" si="97"/>
        <v>7.5979131770932034</v>
      </c>
      <c r="O201" s="76">
        <f t="shared" ca="1" si="97"/>
        <v>7.6982242237133676</v>
      </c>
      <c r="P201" s="76">
        <f t="shared" ca="1" si="97"/>
        <v>7.7967334028636754</v>
      </c>
      <c r="Q201" s="76">
        <f t="shared" ca="1" si="97"/>
        <v>7.8902905444714397</v>
      </c>
      <c r="R201" s="76">
        <f t="shared" ca="1" si="97"/>
        <v>7.9843334514190447</v>
      </c>
      <c r="S201" s="76">
        <f t="shared" ca="1" si="97"/>
        <v>8.0813778546567914</v>
      </c>
      <c r="T201" s="76">
        <f t="shared" ca="1" si="97"/>
        <v>8.1911986672649402</v>
      </c>
      <c r="U201" s="76">
        <f t="shared" ca="1" si="97"/>
        <v>8.3101761952918203</v>
      </c>
      <c r="V201" s="76">
        <f t="shared" ca="1" si="97"/>
        <v>8.4358326587966932</v>
      </c>
      <c r="W201" s="76">
        <f t="shared" ca="1" si="97"/>
        <v>8.5676561335705834</v>
      </c>
      <c r="X201" s="76">
        <f t="shared" ca="1" si="97"/>
        <v>8.7081391839171154</v>
      </c>
      <c r="Y201" s="76">
        <f t="shared" ca="1" si="97"/>
        <v>8.8429647280135892</v>
      </c>
      <c r="Z201" s="76">
        <f t="shared" ca="1" si="97"/>
        <v>8.977615455515787</v>
      </c>
      <c r="AA201" s="76">
        <f t="shared" ca="1" si="97"/>
        <v>9.1102930721442839</v>
      </c>
      <c r="AB201" s="76">
        <f t="shared" ca="1" si="97"/>
        <v>9.2601848201982406</v>
      </c>
      <c r="AC201" s="76">
        <f t="shared" ca="1" si="97"/>
        <v>9.3826481444546914</v>
      </c>
      <c r="AD201" s="76">
        <f t="shared" ca="1" si="97"/>
        <v>9.5152576179623267</v>
      </c>
      <c r="AE201" s="76">
        <f t="shared" ca="1" si="97"/>
        <v>9.66388282692564</v>
      </c>
      <c r="AF201" s="76">
        <f t="shared" ca="1" si="97"/>
        <v>9.7935794616240273</v>
      </c>
      <c r="AG201" s="76"/>
    </row>
    <row r="202" spans="1:33">
      <c r="A202"/>
      <c r="B202"/>
      <c r="C202"/>
      <c r="D202"/>
      <c r="E202"/>
      <c r="F202"/>
      <c r="G202"/>
      <c r="H202"/>
      <c r="I202"/>
      <c r="J202" s="75" t="s">
        <v>30</v>
      </c>
      <c r="K202" s="76">
        <f t="shared" ref="K202:AF202" si="98">K148</f>
        <v>17.344114962240145</v>
      </c>
      <c r="L202" s="76">
        <f t="shared" si="98"/>
        <v>16.968828608546971</v>
      </c>
      <c r="M202" s="76">
        <f t="shared" si="98"/>
        <v>17.253067213484044</v>
      </c>
      <c r="N202" s="76">
        <f t="shared" ca="1" si="98"/>
        <v>17.563984185114069</v>
      </c>
      <c r="O202" s="76">
        <f t="shared" ca="1" si="98"/>
        <v>17.86176752179653</v>
      </c>
      <c r="P202" s="76">
        <f t="shared" ca="1" si="98"/>
        <v>18.186886616951327</v>
      </c>
      <c r="Q202" s="76">
        <f t="shared" ca="1" si="98"/>
        <v>18.463697671601178</v>
      </c>
      <c r="R202" s="76">
        <f t="shared" ca="1" si="98"/>
        <v>18.756484805077832</v>
      </c>
      <c r="S202" s="76">
        <f t="shared" ca="1" si="98"/>
        <v>19.004800107773718</v>
      </c>
      <c r="T202" s="76">
        <f t="shared" ca="1" si="98"/>
        <v>19.316876731928314</v>
      </c>
      <c r="U202" s="76">
        <f t="shared" ca="1" si="98"/>
        <v>19.553689737511363</v>
      </c>
      <c r="V202" s="76">
        <f t="shared" ca="1" si="98"/>
        <v>19.840927971960248</v>
      </c>
      <c r="W202" s="76">
        <f t="shared" ca="1" si="98"/>
        <v>20.169377128297949</v>
      </c>
      <c r="X202" s="76">
        <f t="shared" ca="1" si="98"/>
        <v>20.529709489258906</v>
      </c>
      <c r="Y202" s="76">
        <f t="shared" ca="1" si="98"/>
        <v>20.915263630641277</v>
      </c>
      <c r="Z202" s="76">
        <f t="shared" ca="1" si="98"/>
        <v>21.272336495246673</v>
      </c>
      <c r="AA202" s="76">
        <f t="shared" ca="1" si="98"/>
        <v>21.63785340940689</v>
      </c>
      <c r="AB202" s="76">
        <f t="shared" ca="1" si="98"/>
        <v>21.989480073907743</v>
      </c>
      <c r="AC202" s="76">
        <f t="shared" ca="1" si="98"/>
        <v>22.411255970086991</v>
      </c>
      <c r="AD202" s="76">
        <f t="shared" ca="1" si="98"/>
        <v>22.809031672997904</v>
      </c>
      <c r="AE202" s="76">
        <f t="shared" ca="1" si="98"/>
        <v>23.153957101025156</v>
      </c>
      <c r="AF202" s="76">
        <f t="shared" ca="1" si="98"/>
        <v>23.586209257107996</v>
      </c>
      <c r="AG202" s="76"/>
    </row>
    <row r="203" spans="1:33">
      <c r="A203"/>
      <c r="B203"/>
      <c r="C203"/>
      <c r="D203"/>
      <c r="E203"/>
      <c r="F203"/>
      <c r="G203"/>
      <c r="H203"/>
      <c r="I203"/>
      <c r="J203" s="75" t="s">
        <v>280</v>
      </c>
      <c r="K203" s="76">
        <f t="shared" ref="K203:AF203" si="99">SUM(K199:K202)</f>
        <v>61.402102399977721</v>
      </c>
      <c r="L203" s="76">
        <f t="shared" si="99"/>
        <v>61.01858768674856</v>
      </c>
      <c r="M203" s="76">
        <f t="shared" si="99"/>
        <v>61.854128010533351</v>
      </c>
      <c r="N203" s="76">
        <f t="shared" ca="1" si="99"/>
        <v>62.781957480324095</v>
      </c>
      <c r="O203" s="76">
        <f t="shared" ca="1" si="99"/>
        <v>63.758097853754997</v>
      </c>
      <c r="P203" s="76">
        <f t="shared" ca="1" si="99"/>
        <v>64.668662565339801</v>
      </c>
      <c r="Q203" s="76">
        <f t="shared" ca="1" si="99"/>
        <v>65.695847731849952</v>
      </c>
      <c r="R203" s="76">
        <f t="shared" ca="1" si="99"/>
        <v>66.750572539050779</v>
      </c>
      <c r="S203" s="76">
        <f t="shared" ca="1" si="99"/>
        <v>67.827812002467653</v>
      </c>
      <c r="T203" s="76">
        <f t="shared" ca="1" si="99"/>
        <v>68.963149660107064</v>
      </c>
      <c r="U203" s="76">
        <f t="shared" ca="1" si="99"/>
        <v>70.135405473633526</v>
      </c>
      <c r="V203" s="76">
        <f t="shared" ca="1" si="99"/>
        <v>71.427153287496395</v>
      </c>
      <c r="W203" s="76">
        <f t="shared" ca="1" si="99"/>
        <v>72.822345331671357</v>
      </c>
      <c r="X203" s="76">
        <f t="shared" ca="1" si="99"/>
        <v>74.436930772618368</v>
      </c>
      <c r="Y203" s="76">
        <f t="shared" ca="1" si="99"/>
        <v>75.932517056971307</v>
      </c>
      <c r="Z203" s="76">
        <f t="shared" ca="1" si="99"/>
        <v>77.474826245050977</v>
      </c>
      <c r="AA203" s="76">
        <f t="shared" ca="1" si="99"/>
        <v>78.846774758762905</v>
      </c>
      <c r="AB203" s="76">
        <f t="shared" ca="1" si="99"/>
        <v>80.26435737153281</v>
      </c>
      <c r="AC203" s="76">
        <f t="shared" ca="1" si="99"/>
        <v>81.769640178368249</v>
      </c>
      <c r="AD203" s="76">
        <f t="shared" ca="1" si="99"/>
        <v>83.187766876323579</v>
      </c>
      <c r="AE203" s="76">
        <f t="shared" ca="1" si="99"/>
        <v>84.505858302873449</v>
      </c>
      <c r="AF203" s="76">
        <f t="shared" ca="1" si="99"/>
        <v>86.003507350882643</v>
      </c>
      <c r="AG203" s="76"/>
    </row>
    <row r="204" spans="1:33" ht="13.5" thickBot="1">
      <c r="A204"/>
      <c r="B204"/>
      <c r="C204"/>
      <c r="D204"/>
      <c r="E204"/>
      <c r="F204"/>
      <c r="G204"/>
      <c r="H204"/>
      <c r="I204"/>
    </row>
    <row r="205" spans="1:33" ht="39" thickBot="1">
      <c r="A205"/>
      <c r="B205"/>
      <c r="C205"/>
      <c r="D205"/>
      <c r="E205"/>
      <c r="F205"/>
      <c r="G205"/>
      <c r="H205"/>
      <c r="I205"/>
      <c r="J205" s="74" t="s">
        <v>36</v>
      </c>
      <c r="K205" s="343">
        <v>2013</v>
      </c>
      <c r="L205" s="344">
        <v>2014</v>
      </c>
      <c r="M205" s="344">
        <v>2015</v>
      </c>
      <c r="N205" s="344">
        <v>2016</v>
      </c>
      <c r="O205" s="344">
        <v>2017</v>
      </c>
      <c r="P205" s="344">
        <v>2018</v>
      </c>
      <c r="Q205" s="344">
        <v>2019</v>
      </c>
      <c r="R205" s="344">
        <v>2020</v>
      </c>
      <c r="S205" s="344">
        <v>2021</v>
      </c>
      <c r="T205" s="344">
        <v>2022</v>
      </c>
      <c r="U205" s="344">
        <v>2023</v>
      </c>
      <c r="V205" s="344">
        <v>2024</v>
      </c>
      <c r="W205" s="344">
        <v>2025</v>
      </c>
      <c r="X205" s="344">
        <v>2026</v>
      </c>
      <c r="Y205" s="344">
        <v>2027</v>
      </c>
      <c r="Z205" s="344">
        <v>2028</v>
      </c>
      <c r="AA205" s="344">
        <v>2029</v>
      </c>
      <c r="AB205" s="344">
        <v>2030</v>
      </c>
      <c r="AC205" s="344">
        <v>2031</v>
      </c>
      <c r="AD205" s="344">
        <v>2032</v>
      </c>
      <c r="AE205" s="344">
        <v>2033</v>
      </c>
      <c r="AF205" s="344">
        <v>2034</v>
      </c>
      <c r="AG205" s="344">
        <v>2035</v>
      </c>
    </row>
    <row r="206" spans="1:33">
      <c r="A206"/>
      <c r="B206"/>
      <c r="C206"/>
      <c r="D206"/>
      <c r="E206"/>
      <c r="F206"/>
      <c r="G206"/>
      <c r="H206"/>
      <c r="I206"/>
      <c r="J206" s="75" t="s">
        <v>4</v>
      </c>
      <c r="K206" s="56">
        <f t="shared" ref="K206:AF206" si="100">K38</f>
        <v>3.1732449852277611</v>
      </c>
      <c r="L206" s="56">
        <f t="shared" si="100"/>
        <v>3.1400963613968713</v>
      </c>
      <c r="M206" s="56">
        <f t="shared" si="100"/>
        <v>3.17567617750057</v>
      </c>
      <c r="N206" s="56">
        <f t="shared" ca="1" si="100"/>
        <v>3.2170119433271651</v>
      </c>
      <c r="O206" s="56">
        <f t="shared" ca="1" si="100"/>
        <v>3.2642895246490085</v>
      </c>
      <c r="P206" s="56">
        <f t="shared" ca="1" si="100"/>
        <v>3.3041436024587441</v>
      </c>
      <c r="Q206" s="56">
        <f t="shared" ca="1" si="100"/>
        <v>3.357877061781565</v>
      </c>
      <c r="R206" s="56">
        <f t="shared" ca="1" si="100"/>
        <v>3.4125523856680005</v>
      </c>
      <c r="S206" s="56">
        <f t="shared" ca="1" si="100"/>
        <v>3.4724642039943774</v>
      </c>
      <c r="T206" s="56">
        <f t="shared" ca="1" si="100"/>
        <v>3.5308348620022656</v>
      </c>
      <c r="U206" s="56">
        <f t="shared" ca="1" si="100"/>
        <v>3.5976439457265741</v>
      </c>
      <c r="V206" s="56">
        <f t="shared" ca="1" si="100"/>
        <v>3.6696162836855706</v>
      </c>
      <c r="W206" s="56">
        <f t="shared" ca="1" si="100"/>
        <v>3.7461394083693236</v>
      </c>
      <c r="X206" s="56">
        <f t="shared" ca="1" si="100"/>
        <v>3.8372981078247435</v>
      </c>
      <c r="Y206" s="56">
        <f t="shared" ca="1" si="100"/>
        <v>3.9172216521814178</v>
      </c>
      <c r="Z206" s="56">
        <f t="shared" ca="1" si="100"/>
        <v>4.0032210609174612</v>
      </c>
      <c r="AA206" s="56">
        <f t="shared" ca="1" si="100"/>
        <v>4.0747590696285485</v>
      </c>
      <c r="AB206" s="56">
        <f t="shared" ca="1" si="100"/>
        <v>4.1497732009617962</v>
      </c>
      <c r="AC206" s="56">
        <f t="shared" ca="1" si="100"/>
        <v>4.2284761238086261</v>
      </c>
      <c r="AD206" s="56">
        <f t="shared" ca="1" si="100"/>
        <v>4.3011352969871623</v>
      </c>
      <c r="AE206" s="56">
        <f t="shared" ca="1" si="100"/>
        <v>4.3686856807628445</v>
      </c>
      <c r="AF206" s="56">
        <f t="shared" ca="1" si="100"/>
        <v>4.4453322226910785</v>
      </c>
      <c r="AG206" s="56"/>
    </row>
    <row r="207" spans="1:33">
      <c r="A207"/>
      <c r="B207"/>
      <c r="C207"/>
      <c r="D207"/>
      <c r="E207"/>
      <c r="F207"/>
      <c r="G207"/>
      <c r="H207"/>
      <c r="I207"/>
      <c r="J207" s="75" t="s">
        <v>28</v>
      </c>
      <c r="K207" s="56">
        <f t="shared" ref="K207:AF207" si="101">K75</f>
        <v>3.1438119470165615E-2</v>
      </c>
      <c r="L207" s="56">
        <f t="shared" si="101"/>
        <v>3.1753840138300293E-2</v>
      </c>
      <c r="M207" s="56">
        <f t="shared" si="101"/>
        <v>3.1745533142654825E-2</v>
      </c>
      <c r="N207" s="56">
        <f t="shared" ca="1" si="101"/>
        <v>3.1735472524128339E-2</v>
      </c>
      <c r="O207" s="56">
        <f t="shared" ca="1" si="101"/>
        <v>3.176929746916668E-2</v>
      </c>
      <c r="P207" s="56">
        <f t="shared" ca="1" si="101"/>
        <v>3.1769570357662924E-2</v>
      </c>
      <c r="Q207" s="56">
        <f t="shared" ca="1" si="101"/>
        <v>3.1794696083913998E-2</v>
      </c>
      <c r="R207" s="56">
        <f t="shared" ca="1" si="101"/>
        <v>3.1784643117298672E-2</v>
      </c>
      <c r="S207" s="56">
        <f t="shared" ca="1" si="101"/>
        <v>3.1775083670183113E-2</v>
      </c>
      <c r="T207" s="56">
        <f t="shared" ca="1" si="101"/>
        <v>3.1797461360934476E-2</v>
      </c>
      <c r="U207" s="56">
        <f t="shared" ca="1" si="101"/>
        <v>3.1813718908081545E-2</v>
      </c>
      <c r="V207" s="56">
        <f t="shared" ca="1" si="101"/>
        <v>3.1772987647802231E-2</v>
      </c>
      <c r="W207" s="56">
        <f t="shared" ca="1" si="101"/>
        <v>3.1770335268338612E-2</v>
      </c>
      <c r="X207" s="56">
        <f t="shared" ca="1" si="101"/>
        <v>3.1770518081856103E-2</v>
      </c>
      <c r="Y207" s="56">
        <f t="shared" ca="1" si="101"/>
        <v>3.1664836631244309E-2</v>
      </c>
      <c r="Z207" s="56">
        <f t="shared" ca="1" si="101"/>
        <v>3.1652845502108895E-2</v>
      </c>
      <c r="AA207" s="56">
        <f t="shared" ca="1" si="101"/>
        <v>3.1629094080813658E-2</v>
      </c>
      <c r="AB207" s="56">
        <f t="shared" ca="1" si="101"/>
        <v>3.159218996315033E-2</v>
      </c>
      <c r="AC207" s="56">
        <f t="shared" ca="1" si="101"/>
        <v>3.1547928075511766E-2</v>
      </c>
      <c r="AD207" s="56">
        <f t="shared" ca="1" si="101"/>
        <v>3.1547852101453722E-2</v>
      </c>
      <c r="AE207" s="56">
        <f t="shared" ca="1" si="101"/>
        <v>3.1483766898287802E-2</v>
      </c>
      <c r="AF207" s="56">
        <f t="shared" ca="1" si="101"/>
        <v>3.1421607129504536E-2</v>
      </c>
      <c r="AG207" s="56"/>
    </row>
    <row r="208" spans="1:33">
      <c r="A208"/>
      <c r="B208"/>
      <c r="C208"/>
      <c r="D208"/>
      <c r="E208"/>
      <c r="F208"/>
      <c r="G208"/>
      <c r="H208"/>
      <c r="I208"/>
      <c r="J208" s="75" t="s">
        <v>29</v>
      </c>
      <c r="K208" s="56">
        <f t="shared" ref="K208:AF208" si="102">K112</f>
        <v>0.62676082363871366</v>
      </c>
      <c r="L208" s="56">
        <f t="shared" si="102"/>
        <v>0.65892025917508157</v>
      </c>
      <c r="M208" s="56">
        <f t="shared" si="102"/>
        <v>0.66847121444090529</v>
      </c>
      <c r="N208" s="56">
        <f t="shared" ca="1" si="102"/>
        <v>0.67763802770027315</v>
      </c>
      <c r="O208" s="56">
        <f t="shared" ca="1" si="102"/>
        <v>0.68584819914121198</v>
      </c>
      <c r="P208" s="56">
        <f t="shared" ca="1" si="102"/>
        <v>0.69391089289808949</v>
      </c>
      <c r="Q208" s="56">
        <f t="shared" ca="1" si="102"/>
        <v>0.70156827658617527</v>
      </c>
      <c r="R208" s="56">
        <f t="shared" ca="1" si="102"/>
        <v>0.70926541877399263</v>
      </c>
      <c r="S208" s="56">
        <f t="shared" ca="1" si="102"/>
        <v>0.71720822482388691</v>
      </c>
      <c r="T208" s="56">
        <f t="shared" ca="1" si="102"/>
        <v>0.726196743333821</v>
      </c>
      <c r="U208" s="56">
        <f t="shared" ca="1" si="102"/>
        <v>0.73593471273632005</v>
      </c>
      <c r="V208" s="56">
        <f t="shared" ca="1" si="102"/>
        <v>0.74621933385031802</v>
      </c>
      <c r="W208" s="56">
        <f t="shared" ca="1" si="102"/>
        <v>0.75700870714768165</v>
      </c>
      <c r="X208" s="56">
        <f t="shared" ca="1" si="102"/>
        <v>0.76850684186716656</v>
      </c>
      <c r="Y208" s="56">
        <f t="shared" ca="1" si="102"/>
        <v>0.77954192592766347</v>
      </c>
      <c r="Z208" s="56">
        <f t="shared" ca="1" si="102"/>
        <v>0.79056270175135346</v>
      </c>
      <c r="AA208" s="56">
        <f t="shared" ca="1" si="102"/>
        <v>0.80142198410955601</v>
      </c>
      <c r="AB208" s="56">
        <f t="shared" ca="1" si="102"/>
        <v>0.81369019374916896</v>
      </c>
      <c r="AC208" s="56">
        <f t="shared" ca="1" si="102"/>
        <v>0.8237134655746523</v>
      </c>
      <c r="AD208" s="56">
        <f t="shared" ca="1" si="102"/>
        <v>0.83456717061386954</v>
      </c>
      <c r="AE208" s="56">
        <f t="shared" ca="1" si="102"/>
        <v>0.8467317176617648</v>
      </c>
      <c r="AF208" s="56">
        <f t="shared" ca="1" si="102"/>
        <v>0.85734701519941758</v>
      </c>
      <c r="AG208" s="56"/>
    </row>
    <row r="209" spans="1:33">
      <c r="A209"/>
      <c r="B209"/>
      <c r="C209"/>
      <c r="D209"/>
      <c r="E209"/>
      <c r="F209"/>
      <c r="G209"/>
      <c r="H209"/>
      <c r="I209"/>
      <c r="J209" s="75" t="s">
        <v>30</v>
      </c>
      <c r="K209" s="56">
        <f t="shared" ref="K209:AF209" si="103">K149</f>
        <v>1.4891464645088242</v>
      </c>
      <c r="L209" s="56">
        <f t="shared" si="103"/>
        <v>1.4584303529031537</v>
      </c>
      <c r="M209" s="56">
        <f t="shared" si="103"/>
        <v>1.4816944674278787</v>
      </c>
      <c r="N209" s="56">
        <f t="shared" ca="1" si="103"/>
        <v>1.507142129744139</v>
      </c>
      <c r="O209" s="56">
        <f t="shared" ca="1" si="103"/>
        <v>1.5315148417115054</v>
      </c>
      <c r="P209" s="56">
        <f t="shared" ca="1" si="103"/>
        <v>1.5581249071019201</v>
      </c>
      <c r="Q209" s="56">
        <f t="shared" ca="1" si="103"/>
        <v>1.5807810979402888</v>
      </c>
      <c r="R209" s="56">
        <f t="shared" ca="1" si="103"/>
        <v>1.6047448850060064</v>
      </c>
      <c r="S209" s="56">
        <f t="shared" ca="1" si="103"/>
        <v>1.6250687802820849</v>
      </c>
      <c r="T209" s="56">
        <f t="shared" ca="1" si="103"/>
        <v>1.6506113568312131</v>
      </c>
      <c r="U209" s="56">
        <f t="shared" ca="1" si="103"/>
        <v>1.6699938220809614</v>
      </c>
      <c r="V209" s="56">
        <f t="shared" ca="1" si="103"/>
        <v>1.6935034476773119</v>
      </c>
      <c r="W209" s="56">
        <f t="shared" ca="1" si="103"/>
        <v>1.7203860690238457</v>
      </c>
      <c r="X209" s="56">
        <f t="shared" ca="1" si="103"/>
        <v>1.7498782392173311</v>
      </c>
      <c r="Y209" s="56">
        <f t="shared" ca="1" si="103"/>
        <v>1.7814347397939798</v>
      </c>
      <c r="Z209" s="56">
        <f t="shared" ca="1" si="103"/>
        <v>1.8106601295600626</v>
      </c>
      <c r="AA209" s="56">
        <f t="shared" ca="1" si="103"/>
        <v>1.8405766405619062</v>
      </c>
      <c r="AB209" s="56">
        <f t="shared" ca="1" si="103"/>
        <v>1.8693562744709133</v>
      </c>
      <c r="AC209" s="56">
        <f t="shared" ca="1" si="103"/>
        <v>1.9038774217818357</v>
      </c>
      <c r="AD209" s="56">
        <f t="shared" ca="1" si="103"/>
        <v>1.9364342221141584</v>
      </c>
      <c r="AE209" s="56">
        <f t="shared" ca="1" si="103"/>
        <v>1.9646653790391433</v>
      </c>
      <c r="AF209" s="56">
        <f t="shared" ca="1" si="103"/>
        <v>2.0000439781738315</v>
      </c>
      <c r="AG209" s="56"/>
    </row>
    <row r="210" spans="1:33">
      <c r="A210"/>
      <c r="B210"/>
      <c r="C210"/>
      <c r="D210"/>
      <c r="E210"/>
      <c r="F210"/>
      <c r="G210"/>
      <c r="H210"/>
      <c r="I210"/>
      <c r="J210" s="75" t="s">
        <v>280</v>
      </c>
      <c r="K210" s="56">
        <f t="shared" ref="K210:AF210" si="104">SUM(K206:K209)</f>
        <v>5.3205903928454648</v>
      </c>
      <c r="L210" s="56">
        <f t="shared" si="104"/>
        <v>5.289200813613407</v>
      </c>
      <c r="M210" s="56">
        <f t="shared" si="104"/>
        <v>5.3575873925120092</v>
      </c>
      <c r="N210" s="56">
        <f t="shared" ca="1" si="104"/>
        <v>5.4335275732957058</v>
      </c>
      <c r="O210" s="56">
        <f t="shared" ca="1" si="104"/>
        <v>5.5134218629708922</v>
      </c>
      <c r="P210" s="56">
        <f t="shared" ca="1" si="104"/>
        <v>5.5879489728164167</v>
      </c>
      <c r="Q210" s="56">
        <f t="shared" ca="1" si="104"/>
        <v>5.6720211323919436</v>
      </c>
      <c r="R210" s="56">
        <f t="shared" ca="1" si="104"/>
        <v>5.7583473325652985</v>
      </c>
      <c r="S210" s="56">
        <f t="shared" ca="1" si="104"/>
        <v>5.8465162927705325</v>
      </c>
      <c r="T210" s="56">
        <f t="shared" ca="1" si="104"/>
        <v>5.9394404235282341</v>
      </c>
      <c r="U210" s="56">
        <f t="shared" ca="1" si="104"/>
        <v>6.0353861994519367</v>
      </c>
      <c r="V210" s="56">
        <f t="shared" ca="1" si="104"/>
        <v>6.1411120528610024</v>
      </c>
      <c r="W210" s="56">
        <f t="shared" ca="1" si="104"/>
        <v>6.2553045198091901</v>
      </c>
      <c r="X210" s="56">
        <f t="shared" ca="1" si="104"/>
        <v>6.3874537069910975</v>
      </c>
      <c r="Y210" s="56">
        <f t="shared" ca="1" si="104"/>
        <v>6.5098631545343055</v>
      </c>
      <c r="Z210" s="56">
        <f t="shared" ca="1" si="104"/>
        <v>6.6360967377309859</v>
      </c>
      <c r="AA210" s="56">
        <f t="shared" ca="1" si="104"/>
        <v>6.7483867883808246</v>
      </c>
      <c r="AB210" s="56">
        <f t="shared" ca="1" si="104"/>
        <v>6.8644118591450285</v>
      </c>
      <c r="AC210" s="56">
        <f t="shared" ca="1" si="104"/>
        <v>6.9876149392406255</v>
      </c>
      <c r="AD210" s="56">
        <f t="shared" ca="1" si="104"/>
        <v>7.1036845418166443</v>
      </c>
      <c r="AE210" s="56">
        <f t="shared" ca="1" si="104"/>
        <v>7.2115665443620403</v>
      </c>
      <c r="AF210" s="56">
        <f t="shared" ca="1" si="104"/>
        <v>7.3341448231938324</v>
      </c>
      <c r="AG210" s="56"/>
    </row>
    <row r="211" spans="1:33">
      <c r="A211"/>
      <c r="B211"/>
      <c r="C211"/>
      <c r="D211"/>
      <c r="E211"/>
      <c r="F211"/>
      <c r="G211"/>
      <c r="H211"/>
      <c r="I211"/>
    </row>
    <row r="212" spans="1:33">
      <c r="A212"/>
      <c r="B212"/>
      <c r="C212"/>
      <c r="D212"/>
      <c r="E212"/>
      <c r="F212"/>
      <c r="G212"/>
      <c r="H212"/>
      <c r="I212"/>
      <c r="AG212" s="77"/>
    </row>
    <row r="213" spans="1:33">
      <c r="A213"/>
      <c r="B213"/>
      <c r="C213"/>
      <c r="D213"/>
      <c r="E213"/>
      <c r="F213"/>
      <c r="G213"/>
      <c r="H213"/>
      <c r="I213"/>
    </row>
    <row r="214" spans="1:33">
      <c r="A214"/>
      <c r="B214"/>
      <c r="C214"/>
      <c r="D214"/>
      <c r="E214"/>
      <c r="F214"/>
      <c r="G214"/>
      <c r="H214"/>
      <c r="I214"/>
    </row>
    <row r="215" spans="1:33">
      <c r="A215"/>
      <c r="B215"/>
      <c r="C215"/>
      <c r="D215"/>
      <c r="E215"/>
      <c r="F215"/>
      <c r="G215"/>
      <c r="H215"/>
      <c r="I215"/>
    </row>
    <row r="219" spans="1:33">
      <c r="A219"/>
      <c r="B219"/>
      <c r="C219"/>
    </row>
    <row r="220" spans="1:33">
      <c r="A220"/>
      <c r="B220"/>
      <c r="C220"/>
    </row>
    <row r="221" spans="1:33">
      <c r="A221"/>
      <c r="B221"/>
      <c r="C221"/>
    </row>
    <row r="222" spans="1:33">
      <c r="A222"/>
      <c r="B222"/>
      <c r="C222"/>
    </row>
    <row r="223" spans="1:33">
      <c r="A223"/>
      <c r="B223"/>
      <c r="C223"/>
    </row>
    <row r="224" spans="1:33">
      <c r="A224"/>
      <c r="B224"/>
      <c r="C224"/>
    </row>
    <row r="225" spans="1:3">
      <c r="A225"/>
      <c r="B225"/>
      <c r="C225"/>
    </row>
    <row r="226" spans="1:3">
      <c r="A226"/>
      <c r="B226"/>
      <c r="C226"/>
    </row>
    <row r="227" spans="1:3">
      <c r="A227"/>
      <c r="B227"/>
      <c r="C227"/>
    </row>
    <row r="228" spans="1:3">
      <c r="A228"/>
      <c r="B228"/>
      <c r="C228"/>
    </row>
    <row r="229" spans="1:3">
      <c r="A229"/>
      <c r="B229"/>
      <c r="C229"/>
    </row>
    <row r="230" spans="1:3">
      <c r="A230"/>
      <c r="B230"/>
      <c r="C230"/>
    </row>
    <row r="231" spans="1:3">
      <c r="A231"/>
      <c r="B231"/>
      <c r="C231"/>
    </row>
    <row r="232" spans="1:3">
      <c r="A232"/>
      <c r="B232"/>
      <c r="C232"/>
    </row>
    <row r="233" spans="1:3">
      <c r="A233"/>
      <c r="B233"/>
      <c r="C233"/>
    </row>
    <row r="234" spans="1:3">
      <c r="A234"/>
      <c r="B234"/>
      <c r="C234"/>
    </row>
    <row r="235" spans="1:3">
      <c r="A235"/>
      <c r="B235"/>
      <c r="C235"/>
    </row>
    <row r="236" spans="1:3">
      <c r="A236"/>
      <c r="B236"/>
      <c r="C236"/>
    </row>
    <row r="237" spans="1:3">
      <c r="A237"/>
      <c r="B237"/>
      <c r="C237"/>
    </row>
    <row r="238" spans="1:3">
      <c r="A238"/>
      <c r="B238"/>
      <c r="C238"/>
    </row>
    <row r="239" spans="1:3">
      <c r="A239"/>
      <c r="B239"/>
      <c r="C239"/>
    </row>
    <row r="240" spans="1:3">
      <c r="A240"/>
      <c r="B240"/>
      <c r="C240"/>
    </row>
    <row r="241" spans="1:3">
      <c r="A241"/>
      <c r="B241"/>
      <c r="C241"/>
    </row>
    <row r="242" spans="1:3">
      <c r="A242"/>
      <c r="B242"/>
      <c r="C242"/>
    </row>
    <row r="243" spans="1:3">
      <c r="A243"/>
      <c r="B243"/>
      <c r="C243"/>
    </row>
    <row r="244" spans="1:3">
      <c r="A244"/>
      <c r="B244"/>
      <c r="C244"/>
    </row>
    <row r="245" spans="1:3">
      <c r="A245"/>
      <c r="B245"/>
      <c r="C245"/>
    </row>
  </sheetData>
  <mergeCells count="33">
    <mergeCell ref="H149:J149"/>
    <mergeCell ref="A147:G147"/>
    <mergeCell ref="A149:G149"/>
    <mergeCell ref="H147:J147"/>
    <mergeCell ref="A117:J117"/>
    <mergeCell ref="A132:J132"/>
    <mergeCell ref="H110:J110"/>
    <mergeCell ref="H111:J111"/>
    <mergeCell ref="H148:J148"/>
    <mergeCell ref="H38:J38"/>
    <mergeCell ref="A38:G38"/>
    <mergeCell ref="A43:J43"/>
    <mergeCell ref="A58:J58"/>
    <mergeCell ref="H112:J112"/>
    <mergeCell ref="A110:G110"/>
    <mergeCell ref="A112:G112"/>
    <mergeCell ref="A80:J80"/>
    <mergeCell ref="A95:J95"/>
    <mergeCell ref="H73:J73"/>
    <mergeCell ref="H75:J75"/>
    <mergeCell ref="A6:J6"/>
    <mergeCell ref="A21:J21"/>
    <mergeCell ref="H36:J36"/>
    <mergeCell ref="H74:J74"/>
    <mergeCell ref="A73:G73"/>
    <mergeCell ref="H37:J37"/>
    <mergeCell ref="H185:J185"/>
    <mergeCell ref="A186:G186"/>
    <mergeCell ref="H186:J186"/>
    <mergeCell ref="A154:J154"/>
    <mergeCell ref="A169:J169"/>
    <mergeCell ref="A184:G184"/>
    <mergeCell ref="H184:J184"/>
  </mergeCells>
  <phoneticPr fontId="17" type="noConversion"/>
  <pageMargins left="0.75" right="0.75" top="1" bottom="1" header="0.5" footer="0.5"/>
  <pageSetup orientation="portrait"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sheetPr codeName="Sheet8"/>
  <dimension ref="A1:BS87"/>
  <sheetViews>
    <sheetView zoomScale="75" workbookViewId="0">
      <selection activeCell="H51" sqref="H51"/>
    </sheetView>
  </sheetViews>
  <sheetFormatPr defaultRowHeight="12.75"/>
  <cols>
    <col min="1" max="5" width="9.140625" style="34"/>
    <col min="6" max="6" width="12.85546875" style="34" bestFit="1" customWidth="1"/>
    <col min="7" max="7" width="11" style="34" customWidth="1"/>
    <col min="8" max="8" width="12.28515625" style="34" customWidth="1"/>
    <col min="9" max="9" width="12" style="34" customWidth="1"/>
    <col min="10" max="12" width="12.140625" style="34" customWidth="1"/>
    <col min="13" max="17" width="13.7109375" style="34" customWidth="1"/>
    <col min="18" max="18" width="9.140625" style="34"/>
    <col min="19" max="19" width="12.7109375" style="34" customWidth="1"/>
    <col min="20" max="21" width="9.140625" style="34"/>
    <col min="22" max="22" width="12" style="34" customWidth="1"/>
    <col min="23" max="23" width="10.7109375" style="34" customWidth="1"/>
    <col min="24" max="24" width="9.28515625" style="34" bestFit="1" customWidth="1"/>
    <col min="25" max="25" width="9.28515625" style="34" customWidth="1"/>
    <col min="26" max="26" width="11.28515625" style="34" bestFit="1" customWidth="1"/>
    <col min="27" max="27" width="9.85546875" style="34" customWidth="1"/>
    <col min="28" max="28" width="9.28515625" style="34" bestFit="1" customWidth="1"/>
    <col min="29" max="30" width="9.28515625" style="34" customWidth="1"/>
    <col min="31" max="31" width="10.28515625" style="34" bestFit="1" customWidth="1"/>
    <col min="32" max="32" width="12.42578125" style="34" customWidth="1"/>
    <col min="33" max="33" width="11.85546875" style="34" customWidth="1"/>
    <col min="34" max="34" width="13" style="34" customWidth="1"/>
    <col min="35" max="42" width="11.85546875" style="34" customWidth="1"/>
    <col min="43" max="43" width="12.140625" style="34" customWidth="1"/>
    <col min="44" max="47" width="11.5703125" style="34" customWidth="1"/>
    <col min="48" max="48" width="11.85546875" style="34" customWidth="1"/>
    <col min="49" max="49" width="13" style="34" customWidth="1"/>
    <col min="50" max="57" width="11.85546875" style="34" customWidth="1"/>
    <col min="58" max="58" width="12.140625" style="34" customWidth="1"/>
    <col min="59" max="59" width="12.28515625" style="34" customWidth="1"/>
    <col min="60" max="61" width="9.140625" style="34"/>
    <col min="62" max="62" width="11.28515625" style="34" customWidth="1"/>
    <col min="63" max="64" width="9.140625" style="34"/>
    <col min="65" max="65" width="11.7109375" style="34" customWidth="1"/>
    <col min="66" max="16384" width="9.140625" style="34"/>
  </cols>
  <sheetData>
    <row r="1" spans="1:71" ht="13.5" thickBot="1">
      <c r="A1" s="687" t="s">
        <v>37</v>
      </c>
      <c r="B1" s="688"/>
      <c r="C1" s="688"/>
      <c r="D1" s="688"/>
      <c r="E1" s="688"/>
      <c r="F1" s="688"/>
      <c r="G1" s="689"/>
      <c r="H1" s="690" t="s">
        <v>38</v>
      </c>
      <c r="I1" s="691"/>
      <c r="J1" s="691"/>
      <c r="K1" s="691"/>
      <c r="L1" s="691"/>
      <c r="M1" s="691"/>
      <c r="N1" s="78"/>
      <c r="O1" s="78"/>
      <c r="P1" s="78"/>
      <c r="Q1" s="78"/>
      <c r="R1" s="690" t="s">
        <v>39</v>
      </c>
      <c r="S1" s="691"/>
      <c r="T1" s="691"/>
      <c r="U1" s="691"/>
      <c r="V1" s="691"/>
      <c r="W1" s="692"/>
      <c r="X1" s="79"/>
      <c r="Z1" s="696" t="s">
        <v>40</v>
      </c>
      <c r="AA1" s="697"/>
      <c r="AB1" s="697"/>
      <c r="AC1" s="697"/>
      <c r="AD1" s="697"/>
      <c r="AE1" s="697"/>
      <c r="AF1" s="698"/>
      <c r="AG1" s="693" t="s">
        <v>41</v>
      </c>
      <c r="AH1" s="694"/>
      <c r="AI1" s="694"/>
      <c r="AJ1" s="694"/>
      <c r="AK1" s="694"/>
      <c r="AL1" s="694"/>
      <c r="AM1" s="694"/>
      <c r="AN1" s="694"/>
      <c r="AO1" s="694"/>
      <c r="AP1" s="694"/>
      <c r="AQ1" s="694"/>
      <c r="AR1" s="695"/>
      <c r="AS1" s="80"/>
      <c r="AT1" s="80"/>
      <c r="AU1" s="80"/>
      <c r="AV1" s="80"/>
      <c r="AW1" s="693" t="s">
        <v>42</v>
      </c>
      <c r="AX1" s="694"/>
      <c r="AY1" s="694"/>
      <c r="AZ1" s="694"/>
      <c r="BA1" s="694"/>
      <c r="BB1" s="694"/>
      <c r="BC1" s="694"/>
      <c r="BD1" s="694"/>
      <c r="BE1" s="694"/>
      <c r="BF1" s="694"/>
      <c r="BG1" s="695"/>
      <c r="BH1" s="699" t="s">
        <v>126</v>
      </c>
      <c r="BI1" s="685"/>
      <c r="BJ1" s="685"/>
      <c r="BK1" s="685"/>
      <c r="BL1" s="685"/>
      <c r="BM1" s="686"/>
      <c r="BN1" s="684" t="s">
        <v>43</v>
      </c>
      <c r="BO1" s="685"/>
      <c r="BP1" s="685"/>
      <c r="BQ1" s="685"/>
      <c r="BR1" s="685"/>
      <c r="BS1" s="686"/>
    </row>
    <row r="2" spans="1:71" ht="77.25" thickBot="1">
      <c r="A2" s="81" t="s">
        <v>44</v>
      </c>
      <c r="B2" s="82" t="s">
        <v>45</v>
      </c>
      <c r="C2" s="82" t="s">
        <v>46</v>
      </c>
      <c r="D2" s="82" t="s">
        <v>9</v>
      </c>
      <c r="E2" s="82" t="s">
        <v>47</v>
      </c>
      <c r="F2" s="82" t="s">
        <v>48</v>
      </c>
      <c r="G2" s="82" t="s">
        <v>49</v>
      </c>
      <c r="H2" s="82" t="s">
        <v>50</v>
      </c>
      <c r="I2" s="82" t="s">
        <v>51</v>
      </c>
      <c r="J2" s="82" t="s">
        <v>52</v>
      </c>
      <c r="K2" s="82" t="s">
        <v>53</v>
      </c>
      <c r="L2" s="82" t="s">
        <v>54</v>
      </c>
      <c r="M2" s="82" t="s">
        <v>55</v>
      </c>
      <c r="N2" s="82" t="s">
        <v>58</v>
      </c>
      <c r="O2" s="82" t="s">
        <v>59</v>
      </c>
      <c r="P2" s="82" t="s">
        <v>60</v>
      </c>
      <c r="Q2" s="82" t="s">
        <v>61</v>
      </c>
      <c r="R2" s="82" t="s">
        <v>62</v>
      </c>
      <c r="S2" s="82" t="s">
        <v>63</v>
      </c>
      <c r="T2" s="82" t="s">
        <v>64</v>
      </c>
      <c r="U2" s="82" t="s">
        <v>65</v>
      </c>
      <c r="V2" s="82" t="s">
        <v>66</v>
      </c>
      <c r="W2" s="82" t="s">
        <v>67</v>
      </c>
      <c r="X2" s="83" t="s">
        <v>68</v>
      </c>
      <c r="Z2" s="387" t="s">
        <v>263</v>
      </c>
      <c r="AA2" s="85" t="s">
        <v>69</v>
      </c>
      <c r="AB2" s="85" t="s">
        <v>46</v>
      </c>
      <c r="AC2" s="85" t="s">
        <v>70</v>
      </c>
      <c r="AD2" s="85" t="s">
        <v>71</v>
      </c>
      <c r="AE2" s="85" t="s">
        <v>72</v>
      </c>
      <c r="AF2" s="86" t="s">
        <v>73</v>
      </c>
      <c r="AG2" s="87" t="s">
        <v>74</v>
      </c>
      <c r="AH2" s="85" t="s">
        <v>52</v>
      </c>
      <c r="AI2" s="85" t="s">
        <v>75</v>
      </c>
      <c r="AJ2" s="85" t="s">
        <v>54</v>
      </c>
      <c r="AK2" s="85" t="s">
        <v>55</v>
      </c>
      <c r="AL2" s="85" t="s">
        <v>58</v>
      </c>
      <c r="AM2" s="85" t="s">
        <v>59</v>
      </c>
      <c r="AN2" s="85" t="s">
        <v>60</v>
      </c>
      <c r="AO2" s="85" t="s">
        <v>76</v>
      </c>
      <c r="AP2" s="85" t="s">
        <v>50</v>
      </c>
      <c r="AQ2" s="85" t="s">
        <v>77</v>
      </c>
      <c r="AR2" s="86" t="s">
        <v>78</v>
      </c>
      <c r="AS2" s="86" t="s">
        <v>79</v>
      </c>
      <c r="AT2" s="85" t="s">
        <v>80</v>
      </c>
      <c r="AU2" s="85" t="s">
        <v>69</v>
      </c>
      <c r="AV2" s="85" t="s">
        <v>74</v>
      </c>
      <c r="AW2" s="85" t="s">
        <v>52</v>
      </c>
      <c r="AX2" s="85" t="s">
        <v>53</v>
      </c>
      <c r="AY2" s="85" t="s">
        <v>54</v>
      </c>
      <c r="AZ2" s="85" t="s">
        <v>55</v>
      </c>
      <c r="BA2" s="85" t="s">
        <v>58</v>
      </c>
      <c r="BB2" s="85" t="s">
        <v>59</v>
      </c>
      <c r="BC2" s="85" t="s">
        <v>60</v>
      </c>
      <c r="BD2" s="85" t="s">
        <v>76</v>
      </c>
      <c r="BE2" s="85" t="s">
        <v>50</v>
      </c>
      <c r="BF2" s="85" t="s">
        <v>77</v>
      </c>
      <c r="BG2" s="86" t="s">
        <v>78</v>
      </c>
      <c r="BH2" s="88" t="s">
        <v>62</v>
      </c>
      <c r="BI2" s="89" t="s">
        <v>63</v>
      </c>
      <c r="BJ2" s="89" t="s">
        <v>64</v>
      </c>
      <c r="BK2" s="89" t="s">
        <v>65</v>
      </c>
      <c r="BL2" s="89" t="s">
        <v>66</v>
      </c>
      <c r="BM2" s="90" t="s">
        <v>67</v>
      </c>
      <c r="BN2" s="88" t="s">
        <v>62</v>
      </c>
      <c r="BO2" s="89" t="s">
        <v>63</v>
      </c>
      <c r="BP2" s="89" t="s">
        <v>64</v>
      </c>
      <c r="BQ2" s="89" t="s">
        <v>65</v>
      </c>
      <c r="BR2" s="89" t="s">
        <v>66</v>
      </c>
      <c r="BS2" s="90" t="s">
        <v>67</v>
      </c>
    </row>
    <row r="3" spans="1:71">
      <c r="A3" s="91">
        <v>1</v>
      </c>
      <c r="B3" s="92">
        <v>184020</v>
      </c>
      <c r="C3" s="93" t="s">
        <v>5</v>
      </c>
      <c r="D3" s="93">
        <v>270</v>
      </c>
      <c r="E3" s="94">
        <f t="shared" ref="E3:E34" si="0">B3/H3</f>
        <v>180.76620825147347</v>
      </c>
      <c r="F3" s="92">
        <v>7500000</v>
      </c>
      <c r="G3" s="95">
        <f t="shared" ref="G3:G34" si="1">(F3/D3)</f>
        <v>27777.777777777777</v>
      </c>
      <c r="H3" s="95">
        <v>1018</v>
      </c>
      <c r="I3" s="96">
        <f t="shared" ref="I3:I34" si="2">(B3/F3)*1000</f>
        <v>24.535999999999998</v>
      </c>
      <c r="J3" s="97">
        <f>('EUI by Equipment Type'!I3/'EUI by Equipment Type'!$F3)*1000</f>
        <v>4.3020000000000005</v>
      </c>
      <c r="K3" s="97">
        <f>('EUI by Equipment Type'!J3/'EUI by Equipment Type'!$F3)*1000</f>
        <v>5.009733333333334</v>
      </c>
      <c r="L3" s="97">
        <f>('EUI by Equipment Type'!K3/'EUI by Equipment Type'!$F3)*1000</f>
        <v>6.9160000000000004</v>
      </c>
      <c r="M3" s="97">
        <f>('EUI by Equipment Type'!L3/'EUI by Equipment Type'!$F3)*1000</f>
        <v>1.4169333333333334</v>
      </c>
      <c r="N3" s="97">
        <f>('EUI by Equipment Type'!M3/'EUI by Equipment Type'!$F3)*1000</f>
        <v>0</v>
      </c>
      <c r="O3" s="97">
        <f>('EUI by Equipment Type'!N3/'EUI by Equipment Type'!$F3)*1000</f>
        <v>0.91573333333333329</v>
      </c>
      <c r="P3" s="97">
        <f>('EUI by Equipment Type'!O3/'EUI by Equipment Type'!$F3)*1000</f>
        <v>0.28160000000000002</v>
      </c>
      <c r="Q3" s="97">
        <f>('EUI by Equipment Type'!O3/'EUI by Equipment Type'!$F3)*1000</f>
        <v>0.28160000000000002</v>
      </c>
      <c r="R3" s="98">
        <v>1</v>
      </c>
      <c r="S3" s="93">
        <v>1</v>
      </c>
      <c r="T3" s="93">
        <v>1</v>
      </c>
      <c r="U3" s="93">
        <v>1</v>
      </c>
      <c r="V3" s="93">
        <v>1</v>
      </c>
      <c r="W3" s="99">
        <v>1</v>
      </c>
      <c r="X3" s="93">
        <v>1</v>
      </c>
      <c r="Z3" s="100">
        <f>A$20</f>
        <v>18</v>
      </c>
      <c r="AA3" s="101">
        <f>AVERAGE('EUI by Equipment Type'!Q$3:Q$20)</f>
        <v>165219.33333333334</v>
      </c>
      <c r="AB3" s="102" t="str">
        <f>C3</f>
        <v>Freestall</v>
      </c>
      <c r="AC3" s="101">
        <f>AVERAGE(D$3:D$20)</f>
        <v>244.11111111111111</v>
      </c>
      <c r="AD3" s="101">
        <f>AVERAGE(E$3:E$20)</f>
        <v>210.51695994802412</v>
      </c>
      <c r="AE3" s="101">
        <f>(AF3/AC3)</f>
        <v>24897.451069640418</v>
      </c>
      <c r="AF3" s="103">
        <f>AVERAGE(F$3:F$20)</f>
        <v>6077744.444444444</v>
      </c>
      <c r="AG3" s="104">
        <f>(AA3/$AF3)*1000</f>
        <v>27.184317281447619</v>
      </c>
      <c r="AH3" s="102">
        <f>AVERAGE('EUI by Equipment Type'!I$3:I$20)/($AF3/1000)</f>
        <v>3.917562619173415</v>
      </c>
      <c r="AI3" s="102">
        <f>AVERAGE('EUI by Equipment Type'!J$3:J$20)/($AF3/1000)</f>
        <v>5.9783691683866644</v>
      </c>
      <c r="AJ3" s="102">
        <f>AVERAGE('EUI by Equipment Type'!K$3:K$20)/($AF3/1000)</f>
        <v>5.9771168763265621</v>
      </c>
      <c r="AK3" s="102">
        <f>AVERAGE('EUI by Equipment Type'!L$3:L$20)/($AF3/1000)</f>
        <v>5.039433488666301</v>
      </c>
      <c r="AL3" s="102">
        <f>AVERAGE('EUI by Equipment Type'!M$3:M$20)/($AF3/1000)</f>
        <v>0.32023027548597166</v>
      </c>
      <c r="AM3" s="102">
        <f>AVERAGE('EUI by Equipment Type'!N$3:N$20)/($AF3/1000)</f>
        <v>0.99988665385733388</v>
      </c>
      <c r="AN3" s="102">
        <f>AVERAGE('EUI by Equipment Type'!O$3:O$20)/($AF3/1000)</f>
        <v>0.61499423214386928</v>
      </c>
      <c r="AO3" s="102">
        <f>AVERAGE('EUI by Equipment Type'!$P$3:$P$20)/($AF3/1000)</f>
        <v>4.3367239674075</v>
      </c>
      <c r="AP3" s="101">
        <f>AA3/AD3</f>
        <v>784.82671122614249</v>
      </c>
      <c r="AQ3" s="101">
        <f>AVERAGE('EUI by Equipment Type'!H$3:H$20)</f>
        <v>54.416666666666664</v>
      </c>
      <c r="AR3" s="105">
        <f>AVERAGE(K$3:K$20)</f>
        <v>7.5932810224637342</v>
      </c>
      <c r="AS3" s="106">
        <f>AVERAGE('EUI by Equipment Type'!K$3:K$20)/'EUI by End Use'!$AD3</f>
        <v>172.56276595414445</v>
      </c>
      <c r="AT3" s="106">
        <f>AVERAGE('EUI by Equipment Type'!L$3:L$20)/'EUI by End Use'!$AD3</f>
        <v>145.49131289208682</v>
      </c>
      <c r="AU3" s="101">
        <f>(AVERAGE('EUI by Equipment Type'!AS$3:AS$20))</f>
        <v>152719.66666666666</v>
      </c>
      <c r="AV3" s="107">
        <f>(AVERAGE('EUI by Equipment Type'!AS$3:AS$20)/$AF3)*1000</f>
        <v>25.127688086040692</v>
      </c>
      <c r="AW3" s="102">
        <f>AVERAGE('EUI by Equipment Type'!Z$3:Z$20)/($AF3/1000)</f>
        <v>3.0292853525704899</v>
      </c>
      <c r="AX3" s="102">
        <f>AVERAGE('EUI by Equipment Type'!AF$3:AF$20)/($AF3/1000)</f>
        <v>5.109360746036999</v>
      </c>
      <c r="AY3" s="102">
        <f>AVERAGE('EUI by Equipment Type'!AH$3:AH$20)/($AF3/1000)</f>
        <v>5.6777733698722299</v>
      </c>
      <c r="AZ3" s="102">
        <f>AVERAGE('EUI by Equipment Type'!AJ$3:AJ$20)/($AF3/1000)</f>
        <v>5.039433488666301</v>
      </c>
      <c r="BA3" s="102">
        <f>AVERAGE('EUI by Equipment Type'!AL$3:AL$20)/($AF3/1000)</f>
        <v>0.32023027548597166</v>
      </c>
      <c r="BB3" s="102">
        <f>AVERAGE('EUI by Equipment Type'!AN$3:AN$20)/($AF3/1000)</f>
        <v>0.99988665385733388</v>
      </c>
      <c r="BC3" s="102">
        <f>AVERAGE('EUI by Equipment Type'!AP$3:AP$20)/($AF3/1000)</f>
        <v>0.61499423214386928</v>
      </c>
      <c r="BD3" s="102">
        <f>AVERAGE('EUI by Equipment Type'!$AR$3:$AR$20)/($AF3/1000)</f>
        <v>4.3367239674075</v>
      </c>
      <c r="BE3" s="101">
        <f>AU3/AD3</f>
        <v>725.45065587291685</v>
      </c>
      <c r="BF3" s="101">
        <f>AVERAGE('EUI by Equipment Type'!P$3:P$20)</f>
        <v>26357.5</v>
      </c>
      <c r="BG3" s="105">
        <f>AVERAGE(V$3:V$20)</f>
        <v>0.66666666666666663</v>
      </c>
      <c r="BH3" s="108">
        <f t="shared" ref="BH3:BS3" si="3">SUM(L$3:L$20)/$Z$3</f>
        <v>5.4375342109406439</v>
      </c>
      <c r="BI3" s="109">
        <f t="shared" si="3"/>
        <v>4.4246450829093407</v>
      </c>
      <c r="BJ3" s="109">
        <f t="shared" si="3"/>
        <v>0.93672072882783952</v>
      </c>
      <c r="BK3" s="109">
        <f t="shared" si="3"/>
        <v>1.0707061502263873</v>
      </c>
      <c r="BL3" s="109">
        <f t="shared" si="3"/>
        <v>0.86314245215424767</v>
      </c>
      <c r="BM3" s="110">
        <f t="shared" si="3"/>
        <v>0.86314245215424767</v>
      </c>
      <c r="BN3" s="108">
        <f t="shared" si="3"/>
        <v>0.55555555555555558</v>
      </c>
      <c r="BO3" s="109">
        <f t="shared" si="3"/>
        <v>0.27777777777777779</v>
      </c>
      <c r="BP3" s="109">
        <f t="shared" si="3"/>
        <v>0.77777777777777779</v>
      </c>
      <c r="BQ3" s="109">
        <f t="shared" si="3"/>
        <v>0.55555555555555558</v>
      </c>
      <c r="BR3" s="109">
        <f t="shared" si="3"/>
        <v>0.66666666666666663</v>
      </c>
      <c r="BS3" s="110">
        <f t="shared" si="3"/>
        <v>0.44444444444444442</v>
      </c>
    </row>
    <row r="4" spans="1:71" ht="13.5" thickBot="1">
      <c r="A4" s="111">
        <v>2</v>
      </c>
      <c r="B4" s="112">
        <v>46327</v>
      </c>
      <c r="C4" s="113" t="s">
        <v>5</v>
      </c>
      <c r="D4" s="113">
        <v>81</v>
      </c>
      <c r="E4" s="114">
        <f t="shared" si="0"/>
        <v>56.427527405602923</v>
      </c>
      <c r="F4" s="112">
        <v>2060100</v>
      </c>
      <c r="G4" s="115">
        <f t="shared" si="1"/>
        <v>25433.333333333332</v>
      </c>
      <c r="H4" s="116">
        <v>821</v>
      </c>
      <c r="I4" s="117">
        <f t="shared" si="2"/>
        <v>22.487743313431388</v>
      </c>
      <c r="J4" s="118">
        <f>('EUI by Equipment Type'!I4/'EUI by Equipment Type'!$F4)*1000</f>
        <v>2.7639434978884521</v>
      </c>
      <c r="K4" s="118">
        <f>('EUI by Equipment Type'!J4/'EUI by Equipment Type'!$F4)*1000</f>
        <v>7.0870346099703898</v>
      </c>
      <c r="L4" s="118">
        <f>('EUI by Equipment Type'!K4/'EUI by Equipment Type'!$F4)*1000</f>
        <v>2.381437794281831</v>
      </c>
      <c r="M4" s="118">
        <f>('EUI by Equipment Type'!L4/'EUI by Equipment Type'!$F4)*1000</f>
        <v>2.6440464055142954</v>
      </c>
      <c r="N4" s="118">
        <f>('EUI by Equipment Type'!M4/'EUI by Equipment Type'!$F4)*1000</f>
        <v>1.3023639629144215</v>
      </c>
      <c r="O4" s="118">
        <f>('EUI by Equipment Type'!N4/'EUI by Equipment Type'!$F4)*1000</f>
        <v>0.34367263725061892</v>
      </c>
      <c r="P4" s="118">
        <f>('EUI by Equipment Type'!O4/'EUI by Equipment Type'!$F4)*1000</f>
        <v>0.33542061064996842</v>
      </c>
      <c r="Q4" s="118">
        <f>('EUI by Equipment Type'!O4/'EUI by Equipment Type'!$F4)*1000</f>
        <v>0.33542061064996842</v>
      </c>
      <c r="R4" s="119">
        <v>1</v>
      </c>
      <c r="S4" s="113">
        <v>0</v>
      </c>
      <c r="T4" s="113">
        <v>0</v>
      </c>
      <c r="U4" s="113">
        <v>1</v>
      </c>
      <c r="V4" s="113">
        <v>0</v>
      </c>
      <c r="W4" s="116">
        <v>1</v>
      </c>
      <c r="X4" s="113">
        <v>1</v>
      </c>
      <c r="Z4" s="120">
        <f>A$34</f>
        <v>14</v>
      </c>
      <c r="AA4" s="121">
        <f>AVERAGE('EUI by Equipment Type'!Q$21:Q$34)</f>
        <v>72128.142857142855</v>
      </c>
      <c r="AB4" s="122" t="s">
        <v>7</v>
      </c>
      <c r="AC4" s="121">
        <f>AVERAGE(D$21:D$34)</f>
        <v>76.928571428571431</v>
      </c>
      <c r="AD4" s="121">
        <f>AVERAGE(E$21:E$34)</f>
        <v>82.769220639110884</v>
      </c>
      <c r="AE4" s="121">
        <f>(AF4/AC4)</f>
        <v>20582.172701949861</v>
      </c>
      <c r="AF4" s="123">
        <f>AVERAGE(F$21:F$34)</f>
        <v>1583357.142857143</v>
      </c>
      <c r="AG4" s="124">
        <f>(AA4/$AF4)*1000</f>
        <v>45.553931519826762</v>
      </c>
      <c r="AH4" s="122">
        <f>AVERAGE('EUI by Equipment Type'!I$21:I$34)/($AF4/1000)</f>
        <v>6.8807687102449586</v>
      </c>
      <c r="AI4" s="122">
        <f>AVERAGE('EUI by Equipment Type'!J$21:J$34)/($AF4/1000)</f>
        <v>8.8759417151621776</v>
      </c>
      <c r="AJ4" s="122">
        <f>AVERAGE('EUI by Equipment Type'!K$21:K$34)/($AF4/1000)</f>
        <v>6.3479045427888305</v>
      </c>
      <c r="AK4" s="122">
        <f>AVERAGE('EUI by Equipment Type'!L$21:L$34)/($AF4/1000)</f>
        <v>8.01642080570217</v>
      </c>
      <c r="AL4" s="122">
        <f>AVERAGE('EUI by Equipment Type'!M$21:M$34)/($AF4/1000)</f>
        <v>2.7568006496142914</v>
      </c>
      <c r="AM4" s="122">
        <f>AVERAGE('EUI by Equipment Type'!N$21:N$34)/($AF4/1000)</f>
        <v>1.0039698651148103</v>
      </c>
      <c r="AN4" s="122">
        <f>AVERAGE('EUI by Equipment Type'!O$21:O$34)/($AF4/1000)</f>
        <v>4.0973519195200074</v>
      </c>
      <c r="AO4" s="122">
        <f>AVERAGE('EUI by Equipment Type'!$P$21:$P$34)/($AF4/1000)</f>
        <v>7.5747733116795244</v>
      </c>
      <c r="AP4" s="121">
        <f>AA4/AD4</f>
        <v>871.43677686219735</v>
      </c>
      <c r="AQ4" s="121">
        <f>AVERAGE('EUI by Equipment Type'!H$21:H$34)</f>
        <v>71.921428571428578</v>
      </c>
      <c r="AR4" s="125">
        <f>AVERAGE(K$21:K$34)</f>
        <v>9.4674956235655152</v>
      </c>
      <c r="AS4" s="126">
        <f>AVERAGE('EUI by Equipment Type'!K$21:K$34)/'EUI by End Use'!$AD4</f>
        <v>121.43402973219018</v>
      </c>
      <c r="AT4" s="126">
        <f>AVERAGE('EUI by Equipment Type'!L$21:L$34)/'EUI by End Use'!$AD4</f>
        <v>153.3523820189192</v>
      </c>
      <c r="AU4" s="121">
        <f>(AVERAGE('EUI by Equipment Type'!AS$21:AS$34))</f>
        <v>59375.285714285717</v>
      </c>
      <c r="AV4" s="127">
        <f>(AVERAGE('EUI by Equipment Type'!AS$21:AS$34)/$AF4)*1000</f>
        <v>37.499616547119594</v>
      </c>
      <c r="AW4" s="122">
        <f>AVERAGE('EUI by Equipment Type'!Z$21:Z$34)/($AF4/1000)</f>
        <v>2.7038841521180128</v>
      </c>
      <c r="AX4" s="122">
        <f>AVERAGE('EUI by Equipment Type'!AF$21:AF$34)/($AF4/1000)</f>
        <v>6.6969368881670945</v>
      </c>
      <c r="AY4" s="122">
        <f>AVERAGE('EUI by Equipment Type'!AH$21:AH$34)/($AF4/1000)</f>
        <v>4.6494789552036817</v>
      </c>
      <c r="AZ4" s="122">
        <f>AVERAGE('EUI by Equipment Type'!AJ$21:AJ$34)/($AF4/1000)</f>
        <v>8.01642080570217</v>
      </c>
      <c r="BA4" s="122">
        <f>AVERAGE('EUI by Equipment Type'!AL$21:AL$34)/($AF4/1000)</f>
        <v>2.7568006496142914</v>
      </c>
      <c r="BB4" s="122">
        <f>AVERAGE('EUI by Equipment Type'!AN$21:AN$34)/($AF4/1000)</f>
        <v>1.0039698651148103</v>
      </c>
      <c r="BC4" s="122">
        <f>AVERAGE('EUI by Equipment Type'!AP$21:AP$34)/($AF4/1000)</f>
        <v>4.0973519195200074</v>
      </c>
      <c r="BD4" s="122">
        <f>AVERAGE('EUI by Equipment Type'!$AR$21:$AR$34)/($AF4/1000)</f>
        <v>7.5747733116795244</v>
      </c>
      <c r="BE4" s="121">
        <f>AU4/AD4</f>
        <v>717.35948769135996</v>
      </c>
      <c r="BF4" s="121">
        <f>AVERAGE('EUI by Equipment Type'!P$21:P$34)</f>
        <v>11993.571428571429</v>
      </c>
      <c r="BG4" s="125">
        <f>AVERAGE(V$21:V$34)</f>
        <v>0.8571428571428571</v>
      </c>
      <c r="BH4" s="128">
        <f>SUM(L$21:L$34)/$Z$4</f>
        <v>6.1567852345907497</v>
      </c>
      <c r="BI4" s="129">
        <f>SUM(M$21:M$34)/$Z$4</f>
        <v>7.7169934110474374</v>
      </c>
      <c r="BJ4" s="129">
        <f>SUM(N$21:N$34)/$Z$4</f>
        <v>3.4161331368609029</v>
      </c>
      <c r="BK4" s="129">
        <f>SUM(O$21:O$34)/$Z$4</f>
        <v>0.95478369662563445</v>
      </c>
      <c r="BL4" s="129">
        <f>SUM(P$21:P$34)/$Z$4</f>
        <v>6.0239537227514104</v>
      </c>
      <c r="BM4" s="130" t="e">
        <f>SUM(Q$21:Q$34)/T$4</f>
        <v>#DIV/0!</v>
      </c>
      <c r="BN4" s="128">
        <f>SUM(R$21:R$34)/$Z$4</f>
        <v>7.1428571428571425E-2</v>
      </c>
      <c r="BO4" s="129">
        <f>SUM(S$21:S$34)/$Z$4</f>
        <v>0</v>
      </c>
      <c r="BP4" s="129">
        <f>SUM(T$21:T$34)/$Z$4</f>
        <v>0.42857142857142855</v>
      </c>
      <c r="BQ4" s="129">
        <f>SUM(U$21:U$34)/$Z$4</f>
        <v>0.21428571428571427</v>
      </c>
      <c r="BR4" s="129">
        <f>SUM(V$21:V$34)/$Z$4</f>
        <v>0.8571428571428571</v>
      </c>
      <c r="BS4" s="130">
        <f>SUM(W$21:W$34)/Z$4</f>
        <v>0.7142857142857143</v>
      </c>
    </row>
    <row r="5" spans="1:71" ht="64.5" thickBot="1">
      <c r="A5" s="131">
        <v>3</v>
      </c>
      <c r="B5" s="132">
        <v>48880</v>
      </c>
      <c r="C5" s="133" t="s">
        <v>5</v>
      </c>
      <c r="D5" s="133">
        <v>70</v>
      </c>
      <c r="E5" s="134">
        <f t="shared" si="0"/>
        <v>94.912621359223294</v>
      </c>
      <c r="F5" s="132">
        <v>784800</v>
      </c>
      <c r="G5" s="135">
        <f t="shared" si="1"/>
        <v>11211.428571428571</v>
      </c>
      <c r="H5" s="136">
        <v>515</v>
      </c>
      <c r="I5" s="137">
        <f t="shared" si="2"/>
        <v>62.28338430173293</v>
      </c>
      <c r="J5" s="138">
        <f>('EUI by Equipment Type'!I5/'EUI by Equipment Type'!$F5)*1000</f>
        <v>12.477064220183486</v>
      </c>
      <c r="K5" s="138">
        <f>('EUI by Equipment Type'!J5/'EUI by Equipment Type'!$F5)*1000</f>
        <v>13.843017329255861</v>
      </c>
      <c r="L5" s="138">
        <f>('EUI by Equipment Type'!K5/'EUI by Equipment Type'!$F5)*1000</f>
        <v>8.775484199796125</v>
      </c>
      <c r="M5" s="138">
        <f>('EUI by Equipment Type'!L5/'EUI by Equipment Type'!$F5)*1000</f>
        <v>6.5456167176350668</v>
      </c>
      <c r="N5" s="138">
        <f>('EUI by Equipment Type'!M5/'EUI by Equipment Type'!$F5)*1000</f>
        <v>2.8032619775739044E-2</v>
      </c>
      <c r="O5" s="138">
        <f>('EUI by Equipment Type'!N5/'EUI by Equipment Type'!$F5)*1000</f>
        <v>4.8419979612640163E-2</v>
      </c>
      <c r="P5" s="138">
        <f>('EUI by Equipment Type'!O5/'EUI by Equipment Type'!$F5)*1000</f>
        <v>1.002803261977574</v>
      </c>
      <c r="Q5" s="138">
        <f>('EUI by Equipment Type'!O5/'EUI by Equipment Type'!$F5)*1000</f>
        <v>1.002803261977574</v>
      </c>
      <c r="R5" s="139">
        <v>0</v>
      </c>
      <c r="S5" s="133">
        <v>0</v>
      </c>
      <c r="T5" s="133">
        <v>0</v>
      </c>
      <c r="U5" s="133">
        <v>0</v>
      </c>
      <c r="V5" s="133">
        <v>1</v>
      </c>
      <c r="W5" s="136">
        <v>0</v>
      </c>
      <c r="X5" s="75"/>
      <c r="Z5" s="387" t="s">
        <v>263</v>
      </c>
      <c r="AA5" s="140" t="s">
        <v>81</v>
      </c>
      <c r="AB5" s="140" t="s">
        <v>46</v>
      </c>
      <c r="AC5" s="140" t="s">
        <v>82</v>
      </c>
      <c r="AD5" s="140" t="s">
        <v>83</v>
      </c>
      <c r="AE5" s="140" t="s">
        <v>84</v>
      </c>
      <c r="AF5" s="141" t="s">
        <v>85</v>
      </c>
      <c r="AG5" s="87" t="s">
        <v>86</v>
      </c>
      <c r="AH5" s="85" t="s">
        <v>13</v>
      </c>
      <c r="AI5" s="85" t="s">
        <v>14</v>
      </c>
      <c r="AJ5" s="85" t="s">
        <v>15</v>
      </c>
      <c r="AK5" s="85" t="s">
        <v>16</v>
      </c>
      <c r="AL5" s="85" t="s">
        <v>17</v>
      </c>
      <c r="AM5" s="85" t="s">
        <v>18</v>
      </c>
      <c r="AN5" s="85" t="s">
        <v>19</v>
      </c>
      <c r="AO5" s="85" t="s">
        <v>20</v>
      </c>
      <c r="AP5" s="85" t="s">
        <v>87</v>
      </c>
      <c r="AQ5" s="85" t="s">
        <v>88</v>
      </c>
      <c r="AR5" s="86" t="s">
        <v>89</v>
      </c>
      <c r="AS5" s="86" t="s">
        <v>90</v>
      </c>
      <c r="AT5" s="85" t="s">
        <v>129</v>
      </c>
      <c r="AU5" s="140" t="s">
        <v>81</v>
      </c>
      <c r="AV5" s="85" t="s">
        <v>86</v>
      </c>
      <c r="AW5" s="142" t="s">
        <v>13</v>
      </c>
      <c r="AX5" s="85" t="s">
        <v>14</v>
      </c>
      <c r="AY5" s="85" t="s">
        <v>15</v>
      </c>
      <c r="AZ5" s="85" t="s">
        <v>16</v>
      </c>
      <c r="BA5" s="85" t="s">
        <v>17</v>
      </c>
      <c r="BB5" s="85" t="s">
        <v>18</v>
      </c>
      <c r="BC5" s="85" t="s">
        <v>19</v>
      </c>
      <c r="BD5" s="85" t="s">
        <v>20</v>
      </c>
      <c r="BE5" s="85" t="s">
        <v>87</v>
      </c>
      <c r="BF5" s="85" t="s">
        <v>88</v>
      </c>
      <c r="BG5" s="86" t="s">
        <v>89</v>
      </c>
      <c r="BH5" s="88" t="s">
        <v>62</v>
      </c>
      <c r="BI5" s="89" t="s">
        <v>63</v>
      </c>
      <c r="BJ5" s="89" t="s">
        <v>64</v>
      </c>
      <c r="BK5" s="89" t="s">
        <v>65</v>
      </c>
      <c r="BL5" s="89" t="s">
        <v>66</v>
      </c>
      <c r="BM5" s="90" t="s">
        <v>67</v>
      </c>
      <c r="BN5" s="88" t="s">
        <v>62</v>
      </c>
      <c r="BO5" s="89" t="s">
        <v>63</v>
      </c>
      <c r="BP5" s="89" t="s">
        <v>64</v>
      </c>
      <c r="BQ5" s="89" t="s">
        <v>65</v>
      </c>
      <c r="BR5" s="89" t="s">
        <v>66</v>
      </c>
      <c r="BS5" s="90" t="s">
        <v>67</v>
      </c>
    </row>
    <row r="6" spans="1:71">
      <c r="A6" s="131">
        <v>4</v>
      </c>
      <c r="B6" s="132">
        <v>212497</v>
      </c>
      <c r="C6" s="133" t="s">
        <v>5</v>
      </c>
      <c r="D6" s="133">
        <v>235</v>
      </c>
      <c r="E6" s="134">
        <f t="shared" si="0"/>
        <v>235.06305309734512</v>
      </c>
      <c r="F6" s="132">
        <v>5475000</v>
      </c>
      <c r="G6" s="135">
        <f t="shared" si="1"/>
        <v>23297.872340425532</v>
      </c>
      <c r="H6" s="136">
        <v>904</v>
      </c>
      <c r="I6" s="137">
        <f t="shared" si="2"/>
        <v>38.812237442922374</v>
      </c>
      <c r="J6" s="138">
        <f>('EUI by Equipment Type'!I6/'EUI by Equipment Type'!$F6)*1000</f>
        <v>3.2268493150684932</v>
      </c>
      <c r="K6" s="138">
        <f>('EUI by Equipment Type'!J6/'EUI by Equipment Type'!$F6)*1000</f>
        <v>10.231415525114157</v>
      </c>
      <c r="L6" s="138">
        <f>('EUI by Equipment Type'!K6/'EUI by Equipment Type'!$F6)*1000</f>
        <v>7.0860273972602741</v>
      </c>
      <c r="M6" s="138">
        <f>('EUI by Equipment Type'!L6/'EUI by Equipment Type'!$F6)*1000</f>
        <v>6.9077625570776258</v>
      </c>
      <c r="N6" s="138">
        <f>('EUI by Equipment Type'!M6/'EUI by Equipment Type'!$F6)*1000</f>
        <v>0</v>
      </c>
      <c r="O6" s="138">
        <f>('EUI by Equipment Type'!N6/'EUI by Equipment Type'!$F6)*1000</f>
        <v>3.92</v>
      </c>
      <c r="P6" s="138">
        <f>('EUI by Equipment Type'!O6/'EUI by Equipment Type'!$F6)*1000</f>
        <v>5.4</v>
      </c>
      <c r="Q6" s="138">
        <f>('EUI by Equipment Type'!O6/'EUI by Equipment Type'!$F6)*1000</f>
        <v>5.4</v>
      </c>
      <c r="R6" s="143">
        <v>1</v>
      </c>
      <c r="S6" s="133">
        <v>0</v>
      </c>
      <c r="T6" s="133">
        <v>1</v>
      </c>
      <c r="U6" s="133">
        <v>0</v>
      </c>
      <c r="V6" s="133">
        <v>1</v>
      </c>
      <c r="W6" s="136">
        <v>1</v>
      </c>
      <c r="X6" s="75"/>
      <c r="Z6" s="100">
        <f>A$20</f>
        <v>18</v>
      </c>
      <c r="AA6" s="101">
        <f>MEDIAN('EUI by Equipment Type'!Q$3:Q$20)</f>
        <v>88367</v>
      </c>
      <c r="AB6" s="102" t="str">
        <f>C6</f>
        <v>Freestall</v>
      </c>
      <c r="AC6" s="101">
        <f>MEDIAN(D$3:D$20)</f>
        <v>163.5</v>
      </c>
      <c r="AD6" s="101">
        <f>MEDIAN(E$3:E$20)</f>
        <v>154.9414614744399</v>
      </c>
      <c r="AE6" s="101">
        <f>(AF6/AC6)</f>
        <v>22596.330275229357</v>
      </c>
      <c r="AF6" s="103">
        <f>MEDIAN(F$3:F$20)</f>
        <v>3694500</v>
      </c>
      <c r="AG6" s="104">
        <f>(AA6/$AF6)*1000</f>
        <v>23.918527540939234</v>
      </c>
      <c r="AH6" s="102">
        <f>MEDIAN('EUI by Equipment Type'!I$3:I$20)/($AF6/1000)</f>
        <v>4.4000541345242929</v>
      </c>
      <c r="AI6" s="102">
        <f>MEDIAN('EUI by Equipment Type'!J$3:J$20)/($AF6/1000)</f>
        <v>7.9665719312491543</v>
      </c>
      <c r="AJ6" s="102">
        <f>MEDIAN('EUI by Equipment Type'!K$3:K$20)/($AF6/1000)</f>
        <v>3.2651238327243197</v>
      </c>
      <c r="AK6" s="102">
        <f>MEDIAN('EUI by Equipment Type'!L$3:L$20)/($AF6/1000)</f>
        <v>3.352145080525105</v>
      </c>
      <c r="AL6" s="102">
        <f>MEDIAN('EUI by Equipment Type'!M$3:M$20)/($AF6/1000)</f>
        <v>4.0194884287454324E-2</v>
      </c>
      <c r="AM6" s="102">
        <f>MEDIAN('EUI by Equipment Type'!N$3:N$20)/($AF6/1000)</f>
        <v>0.13614832859656245</v>
      </c>
      <c r="AN6" s="102">
        <f>MEDIAN('EUI by Equipment Type'!O$3:O$20)/($AF6/1000)</f>
        <v>0.23751522533495736</v>
      </c>
      <c r="AO6" s="102">
        <f>MEDIAN('EUI by Equipment Type'!P$3:P$20)/($AF6/1000)</f>
        <v>4.3311679523616187</v>
      </c>
      <c r="AP6" s="101">
        <f>AA6/AD6</f>
        <v>570.32507089509772</v>
      </c>
      <c r="AQ6" s="101">
        <f>MEDIAN('EUI by Equipment Type'!H$3:H$20)</f>
        <v>42.9</v>
      </c>
      <c r="AR6" s="105">
        <f>MEDIAN(K$3:K$20)</f>
        <v>7.250709085807113</v>
      </c>
      <c r="AS6" s="106">
        <f>MEDIAN('EUI by Equipment Type'!K$3:K$20)/'EUI by End Use'!$AD6</f>
        <v>77.855209865759434</v>
      </c>
      <c r="AT6" s="106">
        <f>MEDIAN('EUI by Equipment Type'!L$3:L$20)/'EUI by End Use'!$AD6</f>
        <v>79.930187066442656</v>
      </c>
      <c r="AU6" s="101">
        <f>(MEDIAN('EUI by Equipment Type'!AS$3:AS$20))</f>
        <v>84075</v>
      </c>
      <c r="AV6" s="107">
        <f>(MEDIAN('EUI by Equipment Type'!AS$3:AS$20)/$AF6)*1000</f>
        <v>22.756800649614291</v>
      </c>
      <c r="AW6" s="102">
        <f>MEDIAN('EUI by Equipment Type'!Z$3:Z$20)/($AF6/1000)</f>
        <v>3.5651644336175394</v>
      </c>
      <c r="AX6" s="102">
        <f>MEDIAN('EUI by Equipment Type'!AF$3:AF$20)/($AF6/1000)</f>
        <v>7.4238733252131546</v>
      </c>
      <c r="AY6" s="102">
        <f>MEDIAN('EUI by Equipment Type'!AH$3:AH$20)/($AF6/1000)</f>
        <v>3.0093382054405198</v>
      </c>
      <c r="AZ6" s="102">
        <f>MEDIAN('EUI by Equipment Type'!AJ$3:AJ$20)/($AF6/1000)</f>
        <v>3.352145080525105</v>
      </c>
      <c r="BA6" s="102">
        <f>MEDIAN('EUI by Equipment Type'!AL$3:AL$20)/($AF6/1000)</f>
        <v>4.0194884287454324E-2</v>
      </c>
      <c r="BB6" s="102">
        <f>MEDIAN('EUI by Equipment Type'!AN$3:AN$20)/($AF6/1000)</f>
        <v>0.13614832859656245</v>
      </c>
      <c r="BC6" s="102">
        <f>MEDIAN('EUI by Equipment Type'!AP$3:AP$20)/($AF6/1000)</f>
        <v>0.23751522533495736</v>
      </c>
      <c r="BD6" s="102">
        <f>MEDIAN('EUI by Equipment Type'!$AR$3:$AR$20)/($AF6/1000)</f>
        <v>4.3311679523616187</v>
      </c>
      <c r="BE6" s="101">
        <f>AU6/AD6</f>
        <v>542.62428661723663</v>
      </c>
      <c r="BF6" s="101">
        <f>MEDIAN('EUI by Equipment Type'!P$3:P$20)</f>
        <v>16001.5</v>
      </c>
      <c r="BG6" s="105">
        <f>MEDIAN(V$3:V$20)</f>
        <v>1</v>
      </c>
      <c r="BH6" s="108">
        <f t="shared" ref="BH6:BS6" si="4">SUM(L$3:L$20)/$Z$3</f>
        <v>5.4375342109406439</v>
      </c>
      <c r="BI6" s="109">
        <f t="shared" si="4"/>
        <v>4.4246450829093407</v>
      </c>
      <c r="BJ6" s="109">
        <f t="shared" si="4"/>
        <v>0.93672072882783952</v>
      </c>
      <c r="BK6" s="109">
        <f t="shared" si="4"/>
        <v>1.0707061502263873</v>
      </c>
      <c r="BL6" s="109">
        <f t="shared" si="4"/>
        <v>0.86314245215424767</v>
      </c>
      <c r="BM6" s="110">
        <f t="shared" si="4"/>
        <v>0.86314245215424767</v>
      </c>
      <c r="BN6" s="108">
        <f t="shared" si="4"/>
        <v>0.55555555555555558</v>
      </c>
      <c r="BO6" s="109">
        <f t="shared" si="4"/>
        <v>0.27777777777777779</v>
      </c>
      <c r="BP6" s="109">
        <f t="shared" si="4"/>
        <v>0.77777777777777779</v>
      </c>
      <c r="BQ6" s="109">
        <f t="shared" si="4"/>
        <v>0.55555555555555558</v>
      </c>
      <c r="BR6" s="109">
        <f t="shared" si="4"/>
        <v>0.66666666666666663</v>
      </c>
      <c r="BS6" s="110">
        <f t="shared" si="4"/>
        <v>0.44444444444444442</v>
      </c>
    </row>
    <row r="7" spans="1:71" ht="13.5" thickBot="1">
      <c r="A7" s="91">
        <v>5</v>
      </c>
      <c r="B7" s="92">
        <v>63351</v>
      </c>
      <c r="C7" s="93" t="s">
        <v>5</v>
      </c>
      <c r="D7" s="93">
        <v>100</v>
      </c>
      <c r="E7" s="94">
        <f t="shared" si="0"/>
        <v>105.40931780366057</v>
      </c>
      <c r="F7" s="92">
        <v>2336000</v>
      </c>
      <c r="G7" s="95">
        <f t="shared" si="1"/>
        <v>23360</v>
      </c>
      <c r="H7" s="95">
        <v>601</v>
      </c>
      <c r="I7" s="117">
        <f t="shared" si="2"/>
        <v>27.119434931506849</v>
      </c>
      <c r="J7" s="118">
        <f>('EUI by Equipment Type'!I7/'EUI by Equipment Type'!$F7)*1000</f>
        <v>2.5710616438356162</v>
      </c>
      <c r="K7" s="118">
        <f>('EUI by Equipment Type'!J7/'EUI by Equipment Type'!$F7)*1000</f>
        <v>11.452910958904109</v>
      </c>
      <c r="L7" s="118">
        <f>('EUI by Equipment Type'!K7/'EUI by Equipment Type'!$F7)*1000</f>
        <v>4.5881849315068495</v>
      </c>
      <c r="M7" s="118">
        <f>('EUI by Equipment Type'!L7/'EUI by Equipment Type'!$F7)*1000</f>
        <v>5.8976883561643838</v>
      </c>
      <c r="N7" s="118">
        <f>('EUI by Equipment Type'!M7/'EUI by Equipment Type'!$F7)*1000</f>
        <v>1.1023116438356164</v>
      </c>
      <c r="O7" s="118">
        <f>('EUI by Equipment Type'!N7/'EUI by Equipment Type'!$F7)*1000</f>
        <v>0</v>
      </c>
      <c r="P7" s="118">
        <f>('EUI by Equipment Type'!O7/'EUI by Equipment Type'!$F7)*1000</f>
        <v>7.9195205479452066E-2</v>
      </c>
      <c r="Q7" s="118">
        <f>('EUI by Equipment Type'!O7/'EUI by Equipment Type'!$F7)*1000</f>
        <v>7.9195205479452066E-2</v>
      </c>
      <c r="R7" s="98">
        <v>1</v>
      </c>
      <c r="S7" s="93">
        <v>0</v>
      </c>
      <c r="T7" s="93">
        <v>1</v>
      </c>
      <c r="U7" s="93">
        <v>1</v>
      </c>
      <c r="V7" s="93">
        <v>1</v>
      </c>
      <c r="W7" s="99">
        <v>0</v>
      </c>
      <c r="X7" s="113">
        <v>1</v>
      </c>
      <c r="Z7" s="120">
        <f>A$34</f>
        <v>14</v>
      </c>
      <c r="AA7" s="121">
        <f>MEDIAN('EUI by Equipment Type'!Q$21:Q$34)</f>
        <v>64821.5</v>
      </c>
      <c r="AB7" s="122" t="s">
        <v>7</v>
      </c>
      <c r="AC7" s="121">
        <f>MEDIAN(D$21:D$34)</f>
        <v>76</v>
      </c>
      <c r="AD7" s="121">
        <f>MEDIAN(E$21:E$34)</f>
        <v>92.684547271609077</v>
      </c>
      <c r="AE7" s="121">
        <f>(AF7/AC7)</f>
        <v>20189.473684210527</v>
      </c>
      <c r="AF7" s="123">
        <f>MEDIAN(F$21:F$34)</f>
        <v>1534400</v>
      </c>
      <c r="AG7" s="124">
        <f>(AA7/$AF7)*1000</f>
        <v>42.245503128258605</v>
      </c>
      <c r="AH7" s="122">
        <f>MEDIAN('EUI by Equipment Type'!I$21:I$34)/($AF7/1000)</f>
        <v>6.6983837330552651</v>
      </c>
      <c r="AI7" s="122">
        <f>MEDIAN('EUI by Equipment Type'!J$21:J$34)/($AF7/1000)</f>
        <v>8.8744786235662136</v>
      </c>
      <c r="AJ7" s="122">
        <f>MEDIAN('EUI by Equipment Type'!K$21:K$34)/($AF7/1000)</f>
        <v>4.1462460896767466</v>
      </c>
      <c r="AK7" s="122">
        <f>MEDIAN('EUI by Equipment Type'!L$21:L$34)/($AF7/1000)</f>
        <v>7.1324296141814383</v>
      </c>
      <c r="AL7" s="122">
        <f>MEDIAN('EUI by Equipment Type'!M$21:M$34)/($AF7/1000)</f>
        <v>1.9489702815432741</v>
      </c>
      <c r="AM7" s="122">
        <f>MEDIAN('EUI by Equipment Type'!N$21:N$34)/($AF7/1000)</f>
        <v>0.93228623566214797</v>
      </c>
      <c r="AN7" s="122">
        <f>MEDIAN('EUI by Equipment Type'!O$21:O$34)/($AF7/1000)</f>
        <v>2.7105057351407713</v>
      </c>
      <c r="AO7" s="122">
        <f>MEDIAN('EUI by Equipment Type'!P$21:P$34)/($AF7/1000)</f>
        <v>6.8049400417101147</v>
      </c>
      <c r="AP7" s="121">
        <f>AA7/AD7</f>
        <v>699.37764069821355</v>
      </c>
      <c r="AQ7" s="121">
        <f>MEDIAN('EUI by Equipment Type'!H$21:H$34)</f>
        <v>67.55</v>
      </c>
      <c r="AR7" s="125">
        <f>MEDIAN(K$21:K$34)</f>
        <v>8.5232805429864253</v>
      </c>
      <c r="AS7" s="126">
        <f>MEDIAN('EUI by Equipment Type'!K$21:K$34)/'EUI by End Use'!$AD7</f>
        <v>68.641431471379633</v>
      </c>
      <c r="AT7" s="126">
        <f>MEDIAN('EUI by Equipment Type'!L$21:L$34)/'EUI by End Use'!$AD7</f>
        <v>118.07793555843739</v>
      </c>
      <c r="AU7" s="121">
        <f>(MEDIAN('EUI by Equipment Type'!AS$21:AS$34))</f>
        <v>51566</v>
      </c>
      <c r="AV7" s="127">
        <f>(MEDIAN('EUI by Equipment Type'!AS$21:AS$34)/$AF7)*1000</f>
        <v>33.606621480709073</v>
      </c>
      <c r="AW7" s="122">
        <f>MEDIAN('EUI by Equipment Type'!Z$21:Z$34)/($AF7/1000)</f>
        <v>2.4765380604796663</v>
      </c>
      <c r="AX7" s="122">
        <f>MEDIAN('EUI by Equipment Type'!AF$21:AF$34)/($AF7/1000)</f>
        <v>5.9893117831074028</v>
      </c>
      <c r="AY7" s="122">
        <f>MEDIAN('EUI by Equipment Type'!AH$21:AH$34)/($AF7/1000)</f>
        <v>3.6486574556830029</v>
      </c>
      <c r="AZ7" s="122">
        <f>MEDIAN('EUI by Equipment Type'!AJ$21:AJ$34)/($AF7/1000)</f>
        <v>7.1324296141814383</v>
      </c>
      <c r="BA7" s="122">
        <f>MEDIAN('EUI by Equipment Type'!AL$21:AL$34)/($AF7/1000)</f>
        <v>1.9489702815432741</v>
      </c>
      <c r="BB7" s="122">
        <f>MEDIAN('EUI by Equipment Type'!AN$21:AN$34)/($AF7/1000)</f>
        <v>0.93228623566214797</v>
      </c>
      <c r="BC7" s="122">
        <f>MEDIAN('EUI by Equipment Type'!AP$21:AP$34)/($AF7/1000)</f>
        <v>2.7105057351407713</v>
      </c>
      <c r="BD7" s="122">
        <f>MEDIAN('EUI by Equipment Type'!$AR$21:$AR$34)/($AF7/1000)</f>
        <v>6.8049400417101147</v>
      </c>
      <c r="BE7" s="121">
        <f>AU7/AD7</f>
        <v>556.36027275277615</v>
      </c>
      <c r="BF7" s="121">
        <f>MEDIAN('EUI by Equipment Type'!P$21:P$34)</f>
        <v>10441.5</v>
      </c>
      <c r="BG7" s="125">
        <f>MEDIAN(V$21:V$34)</f>
        <v>1</v>
      </c>
      <c r="BH7" s="128">
        <f>SUM(L$21:L$34)/$Z$4</f>
        <v>6.1567852345907497</v>
      </c>
      <c r="BI7" s="129">
        <f>SUM(M$21:M$34)/$Z$4</f>
        <v>7.7169934110474374</v>
      </c>
      <c r="BJ7" s="129">
        <f>SUM(N$21:N$34)/$Z$4</f>
        <v>3.4161331368609029</v>
      </c>
      <c r="BK7" s="129">
        <f>SUM(O$21:O$34)/$Z$4</f>
        <v>0.95478369662563445</v>
      </c>
      <c r="BL7" s="129">
        <f>SUM(P$21:P$34)/$Z$4</f>
        <v>6.0239537227514104</v>
      </c>
      <c r="BM7" s="130" t="e">
        <f>SUM(Q$21:Q$34)/T$4</f>
        <v>#DIV/0!</v>
      </c>
      <c r="BN7" s="128">
        <f>SUM(R$21:R$34)/$Z$4</f>
        <v>7.1428571428571425E-2</v>
      </c>
      <c r="BO7" s="129">
        <f>SUM(S$21:S$34)/$Z$4</f>
        <v>0</v>
      </c>
      <c r="BP7" s="129">
        <f>SUM(T$21:T$34)/$Z$4</f>
        <v>0.42857142857142855</v>
      </c>
      <c r="BQ7" s="129">
        <f>SUM(U$21:U$34)/$Z$4</f>
        <v>0.21428571428571427</v>
      </c>
      <c r="BR7" s="129">
        <f>SUM(V$21:V$34)/$Z$4</f>
        <v>0.8571428571428571</v>
      </c>
      <c r="BS7" s="130">
        <f>SUM(W$21:W$34)/Z$4</f>
        <v>0.7142857142857143</v>
      </c>
    </row>
    <row r="8" spans="1:71">
      <c r="A8" s="131">
        <v>6</v>
      </c>
      <c r="B8" s="132">
        <v>170934</v>
      </c>
      <c r="C8" s="133" t="s">
        <v>5</v>
      </c>
      <c r="D8" s="133">
        <v>210</v>
      </c>
      <c r="E8" s="134">
        <f t="shared" si="0"/>
        <v>237.73852573018081</v>
      </c>
      <c r="F8" s="132">
        <v>6205000</v>
      </c>
      <c r="G8" s="135">
        <f t="shared" si="1"/>
        <v>29547.619047619046</v>
      </c>
      <c r="H8" s="136">
        <v>719</v>
      </c>
      <c r="I8" s="137">
        <f t="shared" si="2"/>
        <v>27.547784045124899</v>
      </c>
      <c r="J8" s="138">
        <f>('EUI by Equipment Type'!I8/'EUI by Equipment Type'!$F8)*1000</f>
        <v>9.5118452860596285</v>
      </c>
      <c r="K8" s="138">
        <f>('EUI by Equipment Type'!J8/'EUI by Equipment Type'!$F8)*1000</f>
        <v>8.3869460112812249</v>
      </c>
      <c r="L8" s="138">
        <f>('EUI by Equipment Type'!K8/'EUI by Equipment Type'!$F8)*1000</f>
        <v>2.5630942788074136</v>
      </c>
      <c r="M8" s="138">
        <f>('EUI by Equipment Type'!L8/'EUI by Equipment Type'!$F8)*1000</f>
        <v>2.5572925060435132</v>
      </c>
      <c r="N8" s="138">
        <f>('EUI by Equipment Type'!M8/'EUI by Equipment Type'!$F8)*1000</f>
        <v>0.59242546333601931</v>
      </c>
      <c r="O8" s="138">
        <f>('EUI by Equipment Type'!N8/'EUI by Equipment Type'!$F8)*1000</f>
        <v>0</v>
      </c>
      <c r="P8" s="138">
        <f>('EUI by Equipment Type'!O8/'EUI by Equipment Type'!$F8)*1000</f>
        <v>0.15600322320709106</v>
      </c>
      <c r="Q8" s="138">
        <f>('EUI by Equipment Type'!O8/'EUI by Equipment Type'!$F8)*1000</f>
        <v>0.15600322320709106</v>
      </c>
      <c r="R8" s="143">
        <v>0</v>
      </c>
      <c r="S8" s="133">
        <v>0</v>
      </c>
      <c r="T8" s="133">
        <v>0</v>
      </c>
      <c r="U8" s="133">
        <v>0</v>
      </c>
      <c r="V8" s="133">
        <v>0</v>
      </c>
      <c r="W8" s="136">
        <v>0</v>
      </c>
      <c r="X8" s="75"/>
    </row>
    <row r="9" spans="1:71">
      <c r="A9" s="91">
        <v>7</v>
      </c>
      <c r="B9" s="92">
        <v>73072</v>
      </c>
      <c r="C9" s="93" t="s">
        <v>5</v>
      </c>
      <c r="D9" s="93">
        <v>92</v>
      </c>
      <c r="E9" s="94">
        <f t="shared" si="0"/>
        <v>42.092165898617509</v>
      </c>
      <c r="F9" s="92">
        <v>1752000</v>
      </c>
      <c r="G9" s="95">
        <f t="shared" si="1"/>
        <v>19043.478260869564</v>
      </c>
      <c r="H9" s="95">
        <v>1736</v>
      </c>
      <c r="I9" s="117">
        <f t="shared" si="2"/>
        <v>41.707762557077622</v>
      </c>
      <c r="J9" s="118">
        <f>('EUI by Equipment Type'!I9/'EUI by Equipment Type'!$F9)*1000</f>
        <v>10.228881278538813</v>
      </c>
      <c r="K9" s="118">
        <f>('EUI by Equipment Type'!J9/'EUI by Equipment Type'!$F9)*1000</f>
        <v>7.4143835616438354</v>
      </c>
      <c r="L9" s="118">
        <f>('EUI by Equipment Type'!K9/'EUI by Equipment Type'!$F9)*1000</f>
        <v>2.4400684931506849</v>
      </c>
      <c r="M9" s="118">
        <f>('EUI by Equipment Type'!L9/'EUI by Equipment Type'!$F9)*1000</f>
        <v>7.0285388127853885</v>
      </c>
      <c r="N9" s="118">
        <f>('EUI by Equipment Type'!M9/'EUI by Equipment Type'!$F9)*1000</f>
        <v>0.1021689497716895</v>
      </c>
      <c r="O9" s="118">
        <f>('EUI by Equipment Type'!N9/'EUI by Equipment Type'!$F9)*1000</f>
        <v>7.0907534246575343</v>
      </c>
      <c r="P9" s="118">
        <f>('EUI by Equipment Type'!O9/'EUI by Equipment Type'!$F9)*1000</f>
        <v>1.3595890410958904</v>
      </c>
      <c r="Q9" s="118">
        <f>('EUI by Equipment Type'!O9/'EUI by Equipment Type'!$F9)*1000</f>
        <v>1.3595890410958904</v>
      </c>
      <c r="R9" s="98">
        <v>0</v>
      </c>
      <c r="S9" s="93">
        <v>0</v>
      </c>
      <c r="T9" s="93">
        <v>1</v>
      </c>
      <c r="U9" s="93">
        <v>0</v>
      </c>
      <c r="V9" s="93">
        <v>1</v>
      </c>
      <c r="W9" s="99">
        <v>1</v>
      </c>
      <c r="X9" s="113">
        <v>1</v>
      </c>
    </row>
    <row r="10" spans="1:71" s="145" customFormat="1">
      <c r="A10" s="91">
        <v>8</v>
      </c>
      <c r="B10" s="92">
        <v>98553</v>
      </c>
      <c r="C10" s="93" t="s">
        <v>5</v>
      </c>
      <c r="D10" s="93">
        <v>200</v>
      </c>
      <c r="E10" s="94">
        <f t="shared" si="0"/>
        <v>193.24117647058824</v>
      </c>
      <c r="F10" s="92">
        <v>4250000</v>
      </c>
      <c r="G10" s="95">
        <f t="shared" si="1"/>
        <v>21250</v>
      </c>
      <c r="H10" s="95">
        <v>510</v>
      </c>
      <c r="I10" s="117">
        <f t="shared" si="2"/>
        <v>23.188941176470589</v>
      </c>
      <c r="J10" s="118">
        <f>('EUI by Equipment Type'!I10/'EUI by Equipment Type'!$F10)*1000</f>
        <v>3.4929411764705884</v>
      </c>
      <c r="K10" s="118">
        <f>('EUI by Equipment Type'!J10/'EUI by Equipment Type'!$F10)*1000</f>
        <v>9.7708235294117642</v>
      </c>
      <c r="L10" s="118">
        <f>('EUI by Equipment Type'!K10/'EUI by Equipment Type'!$F10)*1000</f>
        <v>2.8348235294117647</v>
      </c>
      <c r="M10" s="118">
        <f>('EUI by Equipment Type'!L10/'EUI by Equipment Type'!$F10)*1000</f>
        <v>2.080705882352941</v>
      </c>
      <c r="N10" s="118">
        <f>('EUI by Equipment Type'!M10/'EUI by Equipment Type'!$F10)*1000</f>
        <v>0.14023529411764707</v>
      </c>
      <c r="O10" s="118">
        <f>('EUI by Equipment Type'!N10/'EUI by Equipment Type'!$F10)*1000</f>
        <v>0</v>
      </c>
      <c r="P10" s="118">
        <f>('EUI by Equipment Type'!O10/'EUI by Equipment Type'!$F10)*1000</f>
        <v>0.17882352941176471</v>
      </c>
      <c r="Q10" s="118">
        <f>('EUI by Equipment Type'!O10/'EUI by Equipment Type'!$F10)*1000</f>
        <v>0.17882352941176471</v>
      </c>
      <c r="R10" s="98">
        <v>1</v>
      </c>
      <c r="S10" s="93">
        <v>0</v>
      </c>
      <c r="T10" s="93">
        <v>1</v>
      </c>
      <c r="U10" s="93">
        <v>0</v>
      </c>
      <c r="V10" s="93">
        <v>1</v>
      </c>
      <c r="W10" s="99">
        <v>0</v>
      </c>
      <c r="X10" s="133">
        <v>1</v>
      </c>
      <c r="Y10" s="144"/>
      <c r="Z10" s="34"/>
      <c r="AA10" s="34"/>
      <c r="AB10" s="34"/>
      <c r="AC10" s="34"/>
      <c r="AD10" s="34"/>
      <c r="AE10" s="34"/>
      <c r="AF10" s="34"/>
      <c r="AG10" s="146">
        <f>AA3/AD3</f>
        <v>784.82671122614249</v>
      </c>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row>
    <row r="11" spans="1:71">
      <c r="A11" s="131">
        <v>9</v>
      </c>
      <c r="B11" s="132">
        <v>36895</v>
      </c>
      <c r="C11" s="133" t="s">
        <v>5</v>
      </c>
      <c r="D11" s="133">
        <v>65</v>
      </c>
      <c r="E11" s="134">
        <f t="shared" si="0"/>
        <v>54.497784342688334</v>
      </c>
      <c r="F11" s="132">
        <v>1496500</v>
      </c>
      <c r="G11" s="135">
        <f t="shared" si="1"/>
        <v>23023.076923076922</v>
      </c>
      <c r="H11" s="136">
        <v>677</v>
      </c>
      <c r="I11" s="137">
        <f t="shared" si="2"/>
        <v>24.654193117273639</v>
      </c>
      <c r="J11" s="138">
        <f>('EUI by Equipment Type'!I11/'EUI by Equipment Type'!$F11)*1000</f>
        <v>5.9759438690277316</v>
      </c>
      <c r="K11" s="138">
        <f>('EUI by Equipment Type'!J11/'EUI by Equipment Type'!$F11)*1000</f>
        <v>5.4193117273638496</v>
      </c>
      <c r="L11" s="138">
        <f>('EUI by Equipment Type'!K11/'EUI by Equipment Type'!$F11)*1000</f>
        <v>6.7450718342799867</v>
      </c>
      <c r="M11" s="138">
        <f>('EUI by Equipment Type'!L11/'EUI by Equipment Type'!$F11)*1000</f>
        <v>8.3227530905446034</v>
      </c>
      <c r="N11" s="138">
        <f>('EUI by Equipment Type'!M11/'EUI by Equipment Type'!$F11)*1000</f>
        <v>7.8850651520213824E-2</v>
      </c>
      <c r="O11" s="138">
        <f>('EUI by Equipment Type'!N11/'EUI by Equipment Type'!$F11)*1000</f>
        <v>0</v>
      </c>
      <c r="P11" s="138">
        <f>('EUI by Equipment Type'!O11/'EUI by Equipment Type'!$F11)*1000</f>
        <v>0</v>
      </c>
      <c r="Q11" s="138">
        <f>('EUI by Equipment Type'!O11/'EUI by Equipment Type'!$F11)*1000</f>
        <v>0</v>
      </c>
      <c r="R11" s="143">
        <v>0</v>
      </c>
      <c r="S11" s="133">
        <v>0</v>
      </c>
      <c r="T11" s="133">
        <v>0</v>
      </c>
      <c r="U11" s="133">
        <v>1</v>
      </c>
      <c r="V11" s="133">
        <v>0</v>
      </c>
      <c r="W11" s="136">
        <v>0</v>
      </c>
      <c r="X11" s="75"/>
      <c r="AG11" s="146">
        <f>AA4/AD4</f>
        <v>871.43677686219735</v>
      </c>
    </row>
    <row r="12" spans="1:71">
      <c r="A12" s="91">
        <v>10</v>
      </c>
      <c r="B12" s="92">
        <v>77904</v>
      </c>
      <c r="C12" s="93" t="s">
        <v>5</v>
      </c>
      <c r="D12" s="93">
        <v>65</v>
      </c>
      <c r="E12" s="94">
        <f t="shared" si="0"/>
        <v>70.629193109700822</v>
      </c>
      <c r="F12" s="92">
        <v>1715500</v>
      </c>
      <c r="G12" s="95">
        <f t="shared" si="1"/>
        <v>26392.307692307691</v>
      </c>
      <c r="H12" s="95">
        <v>1103</v>
      </c>
      <c r="I12" s="117">
        <f t="shared" si="2"/>
        <v>45.411833284756632</v>
      </c>
      <c r="J12" s="118">
        <f>('EUI by Equipment Type'!I12/'EUI by Equipment Type'!$F12)*1000</f>
        <v>11.259691052171378</v>
      </c>
      <c r="K12" s="118">
        <f>('EUI by Equipment Type'!J12/'EUI by Equipment Type'!$F12)*1000</f>
        <v>9.8373651996502485</v>
      </c>
      <c r="L12" s="118">
        <f>('EUI by Equipment Type'!K12/'EUI by Equipment Type'!$F12)*1000</f>
        <v>5.3372194695424078</v>
      </c>
      <c r="M12" s="118">
        <f>('EUI by Equipment Type'!L12/'EUI by Equipment Type'!$F12)*1000</f>
        <v>9.2789274264062946</v>
      </c>
      <c r="N12" s="118">
        <f>('EUI by Equipment Type'!M12/'EUI by Equipment Type'!$F12)*1000</f>
        <v>1.7236957155348294</v>
      </c>
      <c r="O12" s="118">
        <f>('EUI by Equipment Type'!N12/'EUI by Equipment Type'!$F12)*1000</f>
        <v>0</v>
      </c>
      <c r="P12" s="118">
        <f>('EUI by Equipment Type'!O12/'EUI by Equipment Type'!$F12)*1000</f>
        <v>0.15389099387933547</v>
      </c>
      <c r="Q12" s="118">
        <f>('EUI by Equipment Type'!O12/'EUI by Equipment Type'!$F12)*1000</f>
        <v>0.15389099387933547</v>
      </c>
      <c r="R12" s="98">
        <v>0</v>
      </c>
      <c r="S12" s="93">
        <v>0</v>
      </c>
      <c r="T12" s="93">
        <v>1</v>
      </c>
      <c r="U12" s="93">
        <v>0</v>
      </c>
      <c r="V12" s="93">
        <v>1</v>
      </c>
      <c r="W12" s="99">
        <v>1</v>
      </c>
      <c r="X12" s="113">
        <v>1</v>
      </c>
      <c r="AG12" s="156">
        <f>AG11-AG10</f>
        <v>86.610065636054856</v>
      </c>
    </row>
    <row r="13" spans="1:71">
      <c r="A13" s="131">
        <v>11</v>
      </c>
      <c r="B13" s="132">
        <v>390580</v>
      </c>
      <c r="C13" s="133" t="s">
        <v>5</v>
      </c>
      <c r="D13" s="133">
        <v>750</v>
      </c>
      <c r="E13" s="134">
        <f t="shared" si="0"/>
        <v>634.05844155844159</v>
      </c>
      <c r="F13" s="132">
        <v>18031000</v>
      </c>
      <c r="G13" s="135">
        <f t="shared" si="1"/>
        <v>24041.333333333332</v>
      </c>
      <c r="H13" s="136">
        <v>616</v>
      </c>
      <c r="I13" s="137">
        <f t="shared" si="2"/>
        <v>21.661582829571291</v>
      </c>
      <c r="J13" s="138">
        <f>('EUI by Equipment Type'!I13/'EUI by Equipment Type'!$F13)*1000</f>
        <v>1.5587044534412955</v>
      </c>
      <c r="K13" s="138">
        <f>('EUI by Equipment Type'!J13/'EUI by Equipment Type'!$F13)*1000</f>
        <v>5.8275192723642624</v>
      </c>
      <c r="L13" s="138">
        <f>('EUI by Equipment Type'!K13/'EUI by Equipment Type'!$F13)*1000</f>
        <v>3.2218956242027619</v>
      </c>
      <c r="M13" s="138">
        <f>('EUI by Equipment Type'!L13/'EUI by Equipment Type'!$F13)*1000</f>
        <v>7.5324163939881315</v>
      </c>
      <c r="N13" s="138">
        <f>('EUI by Equipment Type'!M13/'EUI by Equipment Type'!$F13)*1000</f>
        <v>0</v>
      </c>
      <c r="O13" s="138">
        <f>('EUI by Equipment Type'!N13/'EUI by Equipment Type'!$F13)*1000</f>
        <v>0</v>
      </c>
      <c r="P13" s="138">
        <f>('EUI by Equipment Type'!O13/'EUI by Equipment Type'!$F13)*1000</f>
        <v>9.5113970384338081E-2</v>
      </c>
      <c r="Q13" s="138">
        <f>('EUI by Equipment Type'!O13/'EUI by Equipment Type'!$F13)*1000</f>
        <v>9.5113970384338081E-2</v>
      </c>
      <c r="R13" s="143">
        <v>1</v>
      </c>
      <c r="S13" s="133">
        <v>1</v>
      </c>
      <c r="T13" s="133">
        <v>1</v>
      </c>
      <c r="U13" s="133">
        <v>1</v>
      </c>
      <c r="V13" s="133">
        <v>1</v>
      </c>
      <c r="W13" s="136">
        <v>0</v>
      </c>
      <c r="X13" s="75"/>
    </row>
    <row r="14" spans="1:71">
      <c r="A14" s="131">
        <v>12</v>
      </c>
      <c r="B14" s="132">
        <v>87127</v>
      </c>
      <c r="C14" s="133" t="s">
        <v>5</v>
      </c>
      <c r="D14" s="133">
        <v>250</v>
      </c>
      <c r="E14" s="134">
        <f t="shared" si="0"/>
        <v>205.48820754716982</v>
      </c>
      <c r="F14" s="132">
        <v>6000000</v>
      </c>
      <c r="G14" s="135">
        <f t="shared" si="1"/>
        <v>24000</v>
      </c>
      <c r="H14" s="136">
        <v>424</v>
      </c>
      <c r="I14" s="137">
        <f t="shared" si="2"/>
        <v>14.521166666666666</v>
      </c>
      <c r="J14" s="138">
        <f>('EUI by Equipment Type'!I14/'EUI by Equipment Type'!$F14)*1000</f>
        <v>1.9163333333333332</v>
      </c>
      <c r="K14" s="138">
        <f>('EUI by Equipment Type'!J14/'EUI by Equipment Type'!$F14)*1000</f>
        <v>6.1069999999999993</v>
      </c>
      <c r="L14" s="138">
        <f>('EUI by Equipment Type'!K14/'EUI by Equipment Type'!$F14)*1000</f>
        <v>2.0129999999999999</v>
      </c>
      <c r="M14" s="138">
        <f>('EUI by Equipment Type'!L14/'EUI by Equipment Type'!$F14)*1000</f>
        <v>0.16366666666666668</v>
      </c>
      <c r="N14" s="138">
        <f>('EUI by Equipment Type'!M14/'EUI by Equipment Type'!$F14)*1000</f>
        <v>0</v>
      </c>
      <c r="O14" s="138">
        <f>('EUI by Equipment Type'!N14/'EUI by Equipment Type'!$F14)*1000</f>
        <v>3.2193333333333332</v>
      </c>
      <c r="P14" s="138">
        <f>('EUI by Equipment Type'!O14/'EUI by Equipment Type'!$F14)*1000</f>
        <v>9.3666666666666662E-2</v>
      </c>
      <c r="Q14" s="138">
        <f>('EUI by Equipment Type'!O14/'EUI by Equipment Type'!$F14)*1000</f>
        <v>9.3666666666666662E-2</v>
      </c>
      <c r="R14" s="143">
        <v>1</v>
      </c>
      <c r="S14" s="133">
        <v>0</v>
      </c>
      <c r="T14" s="133">
        <v>1</v>
      </c>
      <c r="U14" s="133">
        <v>1</v>
      </c>
      <c r="V14" s="133">
        <v>0</v>
      </c>
      <c r="W14" s="136">
        <v>0</v>
      </c>
      <c r="X14" s="75"/>
    </row>
    <row r="15" spans="1:71">
      <c r="A15" s="131">
        <v>13</v>
      </c>
      <c r="B15" s="132">
        <v>72017</v>
      </c>
      <c r="C15" s="133" t="s">
        <v>5</v>
      </c>
      <c r="D15" s="133">
        <v>65</v>
      </c>
      <c r="E15" s="134">
        <f t="shared" si="0"/>
        <v>85.126477541371159</v>
      </c>
      <c r="F15" s="132">
        <v>1569500</v>
      </c>
      <c r="G15" s="135">
        <f t="shared" si="1"/>
        <v>24146.153846153848</v>
      </c>
      <c r="H15" s="136">
        <v>846</v>
      </c>
      <c r="I15" s="137">
        <f t="shared" si="2"/>
        <v>45.88531379420197</v>
      </c>
      <c r="J15" s="138">
        <f>('EUI by Equipment Type'!I15/'EUI by Equipment Type'!$F15)*1000</f>
        <v>4.1822236381013056</v>
      </c>
      <c r="K15" s="138">
        <f>('EUI by Equipment Type'!J15/'EUI by Equipment Type'!$F15)*1000</f>
        <v>12.372093023255815</v>
      </c>
      <c r="L15" s="138">
        <f>('EUI by Equipment Type'!K15/'EUI by Equipment Type'!$F15)*1000</f>
        <v>3.6884358075820325</v>
      </c>
      <c r="M15" s="138">
        <f>('EUI by Equipment Type'!L15/'EUI by Equipment Type'!$F15)*1000</f>
        <v>0</v>
      </c>
      <c r="N15" s="138">
        <f>('EUI by Equipment Type'!M15/'EUI by Equipment Type'!$F15)*1000</f>
        <v>6.3134756291812675</v>
      </c>
      <c r="O15" s="138">
        <f>('EUI by Equipment Type'!N15/'EUI by Equipment Type'!$F15)*1000</f>
        <v>0.1898693851545078</v>
      </c>
      <c r="P15" s="138">
        <f>('EUI by Equipment Type'!O15/'EUI by Equipment Type'!$F15)*1000</f>
        <v>4.8129977699904432</v>
      </c>
      <c r="Q15" s="138">
        <f>('EUI by Equipment Type'!O15/'EUI by Equipment Type'!$F15)*1000</f>
        <v>4.8129977699904432</v>
      </c>
      <c r="R15" s="143">
        <v>0</v>
      </c>
      <c r="S15" s="133">
        <v>0</v>
      </c>
      <c r="T15" s="133">
        <v>1</v>
      </c>
      <c r="U15" s="133">
        <v>0</v>
      </c>
      <c r="V15" s="133">
        <v>0</v>
      </c>
      <c r="W15" s="136">
        <v>1</v>
      </c>
      <c r="X15" s="75"/>
      <c r="AG15" s="146">
        <f>AA6/AD6</f>
        <v>570.32507089509772</v>
      </c>
    </row>
    <row r="16" spans="1:71">
      <c r="A16" s="91">
        <v>14</v>
      </c>
      <c r="B16" s="92">
        <v>52335</v>
      </c>
      <c r="C16" s="93" t="s">
        <v>5</v>
      </c>
      <c r="D16" s="93">
        <v>70</v>
      </c>
      <c r="E16" s="94">
        <f t="shared" si="0"/>
        <v>55.734824281150161</v>
      </c>
      <c r="F16" s="92">
        <v>1277500</v>
      </c>
      <c r="G16" s="95">
        <f t="shared" si="1"/>
        <v>18250</v>
      </c>
      <c r="H16" s="95">
        <v>939</v>
      </c>
      <c r="I16" s="117">
        <f t="shared" si="2"/>
        <v>40.966731898238748</v>
      </c>
      <c r="J16" s="118">
        <f>('EUI by Equipment Type'!I16/'EUI by Equipment Type'!$F16)*1000</f>
        <v>10.269275929549902</v>
      </c>
      <c r="K16" s="118">
        <f>('EUI by Equipment Type'!J16/'EUI by Equipment Type'!$F16)*1000</f>
        <v>9.8622309197651656</v>
      </c>
      <c r="L16" s="118">
        <f>('EUI by Equipment Type'!K16/'EUI by Equipment Type'!$F16)*1000</f>
        <v>4.572211350293542</v>
      </c>
      <c r="M16" s="118">
        <f>('EUI by Equipment Type'!L16/'EUI by Equipment Type'!$F16)*1000</f>
        <v>0</v>
      </c>
      <c r="N16" s="118">
        <f>('EUI by Equipment Type'!M16/'EUI by Equipment Type'!$F16)*1000</f>
        <v>2.6191780821917812</v>
      </c>
      <c r="O16" s="118">
        <f>('EUI by Equipment Type'!N16/'EUI by Equipment Type'!$F16)*1000</f>
        <v>0</v>
      </c>
      <c r="P16" s="118">
        <f>('EUI by Equipment Type'!O16/'EUI by Equipment Type'!$F16)*1000</f>
        <v>0.61056751467710368</v>
      </c>
      <c r="Q16" s="118">
        <f>('EUI by Equipment Type'!O16/'EUI by Equipment Type'!$F16)*1000</f>
        <v>0.61056751467710368</v>
      </c>
      <c r="R16" s="98">
        <v>0</v>
      </c>
      <c r="S16" s="93">
        <v>0</v>
      </c>
      <c r="T16" s="93">
        <v>1</v>
      </c>
      <c r="U16" s="93">
        <v>0</v>
      </c>
      <c r="V16" s="93">
        <v>0</v>
      </c>
      <c r="W16" s="99">
        <v>1</v>
      </c>
      <c r="X16" s="113">
        <v>1</v>
      </c>
      <c r="AG16" s="146">
        <f>AA7/AD7</f>
        <v>699.37764069821355</v>
      </c>
    </row>
    <row r="17" spans="1:34">
      <c r="A17" s="91">
        <v>15</v>
      </c>
      <c r="B17" s="92">
        <v>775909</v>
      </c>
      <c r="C17" s="93" t="s">
        <v>5</v>
      </c>
      <c r="D17" s="93">
        <v>860</v>
      </c>
      <c r="E17" s="94">
        <f t="shared" si="0"/>
        <v>628.77552674230151</v>
      </c>
      <c r="F17" s="92">
        <v>24090000</v>
      </c>
      <c r="G17" s="95">
        <f t="shared" si="1"/>
        <v>28011.627906976744</v>
      </c>
      <c r="H17" s="95">
        <v>1234</v>
      </c>
      <c r="I17" s="117">
        <f t="shared" si="2"/>
        <v>32.208758821087592</v>
      </c>
      <c r="J17" s="118">
        <f>('EUI by Equipment Type'!I17/'EUI by Equipment Type'!$F17)*1000</f>
        <v>2.4500207555002076</v>
      </c>
      <c r="K17" s="118">
        <f>('EUI by Equipment Type'!J17/'EUI by Equipment Type'!$F17)*1000</f>
        <v>4.5259443752594439</v>
      </c>
      <c r="L17" s="118">
        <f>('EUI by Equipment Type'!K17/'EUI by Equipment Type'!$F17)*1000</f>
        <v>11.686176836861769</v>
      </c>
      <c r="M17" s="118">
        <f>('EUI by Equipment Type'!L17/'EUI by Equipment Type'!$F17)*1000</f>
        <v>6.3672893316728931</v>
      </c>
      <c r="N17" s="118">
        <f>('EUI by Equipment Type'!M17/'EUI by Equipment Type'!$F17)*1000</f>
        <v>0</v>
      </c>
      <c r="O17" s="118">
        <f>('EUI by Equipment Type'!N17/'EUI by Equipment Type'!$F17)*1000</f>
        <v>0.89315068493150684</v>
      </c>
      <c r="P17" s="118">
        <f>('EUI by Equipment Type'!O17/'EUI by Equipment Type'!$F17)*1000</f>
        <v>0.66288916562889166</v>
      </c>
      <c r="Q17" s="118">
        <f>('EUI by Equipment Type'!O17/'EUI by Equipment Type'!$F17)*1000</f>
        <v>0.66288916562889166</v>
      </c>
      <c r="R17" s="98">
        <v>1</v>
      </c>
      <c r="S17" s="93">
        <v>1</v>
      </c>
      <c r="T17" s="93">
        <v>1</v>
      </c>
      <c r="U17" s="93">
        <v>1</v>
      </c>
      <c r="V17" s="93">
        <v>1</v>
      </c>
      <c r="W17" s="99">
        <v>1</v>
      </c>
      <c r="X17" s="113">
        <v>1</v>
      </c>
      <c r="AG17" s="156">
        <f>AG16-AG15</f>
        <v>129.05256980311583</v>
      </c>
    </row>
    <row r="18" spans="1:34">
      <c r="A18" s="131">
        <v>16</v>
      </c>
      <c r="B18" s="132">
        <v>176240</v>
      </c>
      <c r="C18" s="133" t="s">
        <v>5</v>
      </c>
      <c r="D18" s="133">
        <v>384</v>
      </c>
      <c r="E18" s="134">
        <f t="shared" si="0"/>
        <v>326.37037037037038</v>
      </c>
      <c r="F18" s="132">
        <v>8030000</v>
      </c>
      <c r="G18" s="135">
        <f t="shared" si="1"/>
        <v>20911.458333333332</v>
      </c>
      <c r="H18" s="136">
        <v>540</v>
      </c>
      <c r="I18" s="137">
        <f t="shared" si="2"/>
        <v>21.94769613947696</v>
      </c>
      <c r="J18" s="138">
        <f>('EUI by Equipment Type'!I18/'EUI by Equipment Type'!$F18)*1000</f>
        <v>2.6518057285180574</v>
      </c>
      <c r="K18" s="138">
        <f>('EUI by Equipment Type'!J18/'EUI by Equipment Type'!$F18)*1000</f>
        <v>3.9988792029887921</v>
      </c>
      <c r="L18" s="138">
        <f>('EUI by Equipment Type'!K18/'EUI by Equipment Type'!$F18)*1000</f>
        <v>5.2044831880448319</v>
      </c>
      <c r="M18" s="138">
        <f>('EUI by Equipment Type'!L18/'EUI by Equipment Type'!$F18)*1000</f>
        <v>3.3163138231631382</v>
      </c>
      <c r="N18" s="138">
        <f>('EUI by Equipment Type'!M18/'EUI by Equipment Type'!$F18)*1000</f>
        <v>0</v>
      </c>
      <c r="O18" s="138">
        <f>('EUI by Equipment Type'!N18/'EUI by Equipment Type'!$F18)*1000</f>
        <v>1.1549190535491907</v>
      </c>
      <c r="P18" s="138">
        <f>('EUI by Equipment Type'!O18/'EUI by Equipment Type'!$F18)*1000</f>
        <v>0.13150684931506848</v>
      </c>
      <c r="Q18" s="138">
        <f>('EUI by Equipment Type'!O18/'EUI by Equipment Type'!$F18)*1000</f>
        <v>0.13150684931506848</v>
      </c>
      <c r="R18" s="143">
        <v>1</v>
      </c>
      <c r="S18" s="133">
        <v>1</v>
      </c>
      <c r="T18" s="133">
        <v>1</v>
      </c>
      <c r="U18" s="133">
        <v>1</v>
      </c>
      <c r="V18" s="133">
        <v>1</v>
      </c>
      <c r="W18" s="136">
        <v>0</v>
      </c>
      <c r="X18" s="75"/>
      <c r="AA18" s="146"/>
    </row>
    <row r="19" spans="1:34">
      <c r="A19" s="91">
        <v>17</v>
      </c>
      <c r="B19" s="92">
        <v>317700</v>
      </c>
      <c r="C19" s="93" t="s">
        <v>5</v>
      </c>
      <c r="D19" s="93">
        <v>500</v>
      </c>
      <c r="E19" s="94">
        <f t="shared" si="0"/>
        <v>453.85714285714283</v>
      </c>
      <c r="F19" s="92">
        <v>13687500</v>
      </c>
      <c r="G19" s="95">
        <f t="shared" si="1"/>
        <v>27375</v>
      </c>
      <c r="H19" s="95">
        <v>700</v>
      </c>
      <c r="I19" s="117">
        <f t="shared" si="2"/>
        <v>23.210958904109589</v>
      </c>
      <c r="J19" s="118">
        <f>('EUI by Equipment Type'!I19/'EUI by Equipment Type'!$F19)*1000</f>
        <v>6.6600182648401827</v>
      </c>
      <c r="K19" s="118">
        <f>('EUI by Equipment Type'!J19/'EUI by Equipment Type'!$F19)*1000</f>
        <v>4.2126027397260275</v>
      </c>
      <c r="L19" s="118">
        <f>('EUI by Equipment Type'!K19/'EUI by Equipment Type'!$F19)*1000</f>
        <v>2.671634703196347</v>
      </c>
      <c r="M19" s="118">
        <f>('EUI by Equipment Type'!L19/'EUI by Equipment Type'!$F19)*1000</f>
        <v>6.2762374429223744</v>
      </c>
      <c r="N19" s="118">
        <f>('EUI by Equipment Type'!M19/'EUI by Equipment Type'!$F19)*1000</f>
        <v>0</v>
      </c>
      <c r="O19" s="118">
        <f>('EUI by Equipment Type'!N19/'EUI by Equipment Type'!$F19)*1000</f>
        <v>1.212054794520548</v>
      </c>
      <c r="P19" s="118">
        <f>('EUI by Equipment Type'!O19/'EUI by Equipment Type'!$F19)*1000</f>
        <v>0.12865753424657536</v>
      </c>
      <c r="Q19" s="118">
        <f>('EUI by Equipment Type'!O19/'EUI by Equipment Type'!$F19)*1000</f>
        <v>0.12865753424657536</v>
      </c>
      <c r="R19" s="98">
        <v>0</v>
      </c>
      <c r="S19" s="93">
        <v>1</v>
      </c>
      <c r="T19" s="93">
        <v>1</v>
      </c>
      <c r="U19" s="93">
        <v>1</v>
      </c>
      <c r="V19" s="93">
        <v>1</v>
      </c>
      <c r="W19" s="99">
        <v>0</v>
      </c>
      <c r="X19" s="113">
        <v>1</v>
      </c>
      <c r="AA19" s="146"/>
    </row>
    <row r="20" spans="1:34">
      <c r="A20" s="131">
        <v>18</v>
      </c>
      <c r="B20" s="132">
        <v>89607</v>
      </c>
      <c r="C20" s="133" t="s">
        <v>5</v>
      </c>
      <c r="D20" s="133">
        <v>127</v>
      </c>
      <c r="E20" s="134">
        <f t="shared" si="0"/>
        <v>129.11671469740634</v>
      </c>
      <c r="F20" s="132">
        <v>3139000</v>
      </c>
      <c r="G20" s="135">
        <f t="shared" si="1"/>
        <v>24716.535433070865</v>
      </c>
      <c r="H20" s="136">
        <v>694</v>
      </c>
      <c r="I20" s="137">
        <f t="shared" si="2"/>
        <v>28.546352341510037</v>
      </c>
      <c r="J20" s="138">
        <f>('EUI by Equipment Type'!I20/'EUI by Equipment Type'!$F20)*1000</f>
        <v>2.0226186683657215</v>
      </c>
      <c r="K20" s="138">
        <f>('EUI by Equipment Type'!J20/'EUI by Equipment Type'!$F20)*1000</f>
        <v>1.3198470850589359</v>
      </c>
      <c r="L20" s="138">
        <f>('EUI by Equipment Type'!K20/'EUI by Equipment Type'!$F20)*1000</f>
        <v>15.150366358712965</v>
      </c>
      <c r="M20" s="138">
        <f>('EUI by Equipment Type'!L20/'EUI by Equipment Type'!$F20)*1000</f>
        <v>3.3074227460974832</v>
      </c>
      <c r="N20" s="138">
        <f>('EUI by Equipment Type'!M20/'EUI by Equipment Type'!$F20)*1000</f>
        <v>2.8582351067218861</v>
      </c>
      <c r="O20" s="138">
        <f>('EUI by Equipment Type'!N20/'EUI by Equipment Type'!$F20)*1000</f>
        <v>0.2848040777317617</v>
      </c>
      <c r="P20" s="138">
        <f>('EUI by Equipment Type'!O20/'EUI by Equipment Type'!$F20)*1000</f>
        <v>5.3838802166294997E-2</v>
      </c>
      <c r="Q20" s="138">
        <f>('EUI by Equipment Type'!O20/'EUI by Equipment Type'!$F20)*1000</f>
        <v>5.3838802166294997E-2</v>
      </c>
      <c r="R20" s="143">
        <v>1</v>
      </c>
      <c r="S20" s="133">
        <v>0</v>
      </c>
      <c r="T20" s="133">
        <v>1</v>
      </c>
      <c r="U20" s="133">
        <v>1</v>
      </c>
      <c r="V20" s="133">
        <v>1</v>
      </c>
      <c r="W20" s="136">
        <v>0</v>
      </c>
      <c r="X20" s="75"/>
      <c r="AA20" s="146"/>
    </row>
    <row r="21" spans="1:34" ht="13.5" thickBot="1">
      <c r="A21" s="131">
        <v>1</v>
      </c>
      <c r="B21" s="132">
        <v>61950</v>
      </c>
      <c r="C21" s="133" t="s">
        <v>130</v>
      </c>
      <c r="D21" s="133">
        <v>70</v>
      </c>
      <c r="E21" s="134">
        <f t="shared" si="0"/>
        <v>78.318584070796462</v>
      </c>
      <c r="F21" s="132">
        <v>1700000</v>
      </c>
      <c r="G21" s="135">
        <f t="shared" si="1"/>
        <v>24285.714285714286</v>
      </c>
      <c r="H21" s="136">
        <v>791</v>
      </c>
      <c r="I21" s="137">
        <f t="shared" si="2"/>
        <v>36.441176470588232</v>
      </c>
      <c r="J21" s="138">
        <f>('EUI by Equipment Type'!I21/'EUI by Equipment Type'!$F21)*1000</f>
        <v>5.7705882352941176</v>
      </c>
      <c r="K21" s="138">
        <f>('EUI by Equipment Type'!J21/'EUI by Equipment Type'!$F21)*1000</f>
        <v>8.3411764705882359</v>
      </c>
      <c r="L21" s="138">
        <f>('EUI by Equipment Type'!K21/'EUI by Equipment Type'!$F21)*1000</f>
        <v>3.4911764705882353</v>
      </c>
      <c r="M21" s="138">
        <f>('EUI by Equipment Type'!L21/'EUI by Equipment Type'!$F21)*1000</f>
        <v>7.263529411764706</v>
      </c>
      <c r="N21" s="138">
        <f>('EUI by Equipment Type'!M21/'EUI by Equipment Type'!$F21)*1000</f>
        <v>2.3411764705882354</v>
      </c>
      <c r="O21" s="138">
        <f>('EUI by Equipment Type'!N21/'EUI by Equipment Type'!$F21)*1000</f>
        <v>0.41529411764705881</v>
      </c>
      <c r="P21" s="138">
        <f>('EUI by Equipment Type'!O21/'EUI by Equipment Type'!$F21)*1000</f>
        <v>3.8541176470588234</v>
      </c>
      <c r="Q21" s="138">
        <f>('EUI by Equipment Type'!O21/'EUI by Equipment Type'!$F21)*1000</f>
        <v>3.8541176470588234</v>
      </c>
      <c r="R21" s="143">
        <v>0</v>
      </c>
      <c r="S21" s="133">
        <v>0</v>
      </c>
      <c r="T21" s="133">
        <v>1</v>
      </c>
      <c r="U21" s="133">
        <v>0</v>
      </c>
      <c r="V21" s="133">
        <v>1</v>
      </c>
      <c r="W21" s="136">
        <v>1</v>
      </c>
      <c r="X21" s="75"/>
      <c r="Z21" s="239" t="s">
        <v>264</v>
      </c>
      <c r="AA21" s="146"/>
    </row>
    <row r="22" spans="1:34" ht="26.25" thickBot="1">
      <c r="A22" s="131">
        <v>2</v>
      </c>
      <c r="B22" s="132">
        <v>65719</v>
      </c>
      <c r="C22" s="133" t="s">
        <v>130</v>
      </c>
      <c r="D22" s="133">
        <v>67</v>
      </c>
      <c r="E22" s="134">
        <f t="shared" si="0"/>
        <v>73.758698092031423</v>
      </c>
      <c r="F22" s="132">
        <v>1781900</v>
      </c>
      <c r="G22" s="135">
        <f t="shared" si="1"/>
        <v>26595.5223880597</v>
      </c>
      <c r="H22" s="136">
        <v>891</v>
      </c>
      <c r="I22" s="137">
        <f t="shared" si="2"/>
        <v>36.881418710365345</v>
      </c>
      <c r="J22" s="138">
        <f>('EUI by Equipment Type'!I22/'EUI by Equipment Type'!$F22)*1000</f>
        <v>3.9143610752567488</v>
      </c>
      <c r="K22" s="138">
        <f>('EUI by Equipment Type'!J22/'EUI by Equipment Type'!$F22)*1000</f>
        <v>7.6884224703967678</v>
      </c>
      <c r="L22" s="138">
        <f>('EUI by Equipment Type'!K22/'EUI by Equipment Type'!$F22)*1000</f>
        <v>2.8026264100117855</v>
      </c>
      <c r="M22" s="138">
        <f>('EUI by Equipment Type'!L22/'EUI by Equipment Type'!$F22)*1000</f>
        <v>10.085863404231439</v>
      </c>
      <c r="N22" s="138">
        <f>('EUI by Equipment Type'!M22/'EUI by Equipment Type'!$F22)*1000</f>
        <v>1.0365340367023963</v>
      </c>
      <c r="O22" s="138">
        <f>('EUI by Equipment Type'!N22/'EUI by Equipment Type'!$F22)*1000</f>
        <v>0.80251417026769178</v>
      </c>
      <c r="P22" s="138">
        <f>('EUI by Equipment Type'!O22/'EUI by Equipment Type'!$F22)*1000</f>
        <v>7.7933666311240817</v>
      </c>
      <c r="Q22" s="138">
        <f>('EUI by Equipment Type'!O22/'EUI by Equipment Type'!$F22)*1000</f>
        <v>7.7933666311240817</v>
      </c>
      <c r="R22" s="143">
        <v>0</v>
      </c>
      <c r="S22" s="133">
        <v>0</v>
      </c>
      <c r="T22" s="133">
        <v>0</v>
      </c>
      <c r="U22" s="133">
        <v>0</v>
      </c>
      <c r="V22" s="133">
        <v>0</v>
      </c>
      <c r="W22" s="136">
        <v>1</v>
      </c>
      <c r="X22" s="75"/>
      <c r="Z22" s="388" t="s">
        <v>280</v>
      </c>
      <c r="AA22" s="389" t="s">
        <v>265</v>
      </c>
      <c r="AB22" s="389" t="s">
        <v>266</v>
      </c>
      <c r="AC22" s="389" t="s">
        <v>125</v>
      </c>
      <c r="AD22" s="389" t="s">
        <v>141</v>
      </c>
      <c r="AE22" s="389" t="s">
        <v>267</v>
      </c>
      <c r="AF22" s="389" t="s">
        <v>268</v>
      </c>
      <c r="AG22" s="389" t="s">
        <v>269</v>
      </c>
      <c r="AH22" s="389" t="s">
        <v>270</v>
      </c>
    </row>
    <row r="23" spans="1:34">
      <c r="A23" s="91">
        <v>3</v>
      </c>
      <c r="B23" s="92">
        <v>134754</v>
      </c>
      <c r="C23" s="93" t="s">
        <v>130</v>
      </c>
      <c r="D23" s="93">
        <v>115</v>
      </c>
      <c r="E23" s="94">
        <f t="shared" si="0"/>
        <v>100.93932584269663</v>
      </c>
      <c r="F23" s="92">
        <v>2993000</v>
      </c>
      <c r="G23" s="95">
        <f t="shared" si="1"/>
        <v>26026.08695652174</v>
      </c>
      <c r="H23" s="95">
        <v>1335</v>
      </c>
      <c r="I23" s="117">
        <f t="shared" si="2"/>
        <v>45.023053792181756</v>
      </c>
      <c r="J23" s="118">
        <f>('EUI by Equipment Type'!I23/'EUI by Equipment Type'!$F23)*1000</f>
        <v>2.5098563314400271</v>
      </c>
      <c r="K23" s="118">
        <f>('EUI by Equipment Type'!J23/'EUI by Equipment Type'!$F23)*1000</f>
        <v>10.022719679251587</v>
      </c>
      <c r="L23" s="118">
        <f>('EUI by Equipment Type'!K23/'EUI by Equipment Type'!$F23)*1000</f>
        <v>7.8095556298028734</v>
      </c>
      <c r="M23" s="118">
        <f>('EUI by Equipment Type'!L23/'EUI by Equipment Type'!$F23)*1000</f>
        <v>8.9435349148012033</v>
      </c>
      <c r="N23" s="118">
        <f>('EUI by Equipment Type'!M23/'EUI by Equipment Type'!$F23)*1000</f>
        <v>0.43334447043100566</v>
      </c>
      <c r="O23" s="118">
        <f>('EUI by Equipment Type'!N23/'EUI by Equipment Type'!$F23)*1000</f>
        <v>1.3444704310056799</v>
      </c>
      <c r="P23" s="118">
        <f>('EUI by Equipment Type'!O23/'EUI by Equipment Type'!$F23)*1000</f>
        <v>0.38255930504510527</v>
      </c>
      <c r="Q23" s="118">
        <f>('EUI by Equipment Type'!O23/'EUI by Equipment Type'!$F23)*1000</f>
        <v>0.38255930504510527</v>
      </c>
      <c r="R23" s="98">
        <v>1</v>
      </c>
      <c r="S23" s="93">
        <v>0</v>
      </c>
      <c r="T23" s="93">
        <v>0</v>
      </c>
      <c r="U23" s="93">
        <v>0</v>
      </c>
      <c r="V23" s="93">
        <v>1</v>
      </c>
      <c r="W23" s="99">
        <v>1</v>
      </c>
      <c r="X23" s="113">
        <v>1</v>
      </c>
      <c r="Y23" s="239" t="s">
        <v>132</v>
      </c>
      <c r="Z23" s="104">
        <v>27.184317281447619</v>
      </c>
      <c r="AA23" s="102">
        <v>3.917562619173415</v>
      </c>
      <c r="AB23" s="102">
        <v>5.9783691683866644</v>
      </c>
      <c r="AC23" s="102">
        <v>5.9771168763265621</v>
      </c>
      <c r="AD23" s="102">
        <v>5.039433488666301</v>
      </c>
      <c r="AE23" s="102">
        <v>0.32023027548597166</v>
      </c>
      <c r="AF23" s="102">
        <v>0.99988665385733388</v>
      </c>
      <c r="AG23" s="102">
        <v>0.61499423214386928</v>
      </c>
      <c r="AH23" s="102">
        <v>4.3367239674075</v>
      </c>
    </row>
    <row r="24" spans="1:34" ht="13.5" thickBot="1">
      <c r="A24" s="131">
        <v>4</v>
      </c>
      <c r="B24" s="132">
        <v>63451</v>
      </c>
      <c r="C24" s="133" t="s">
        <v>130</v>
      </c>
      <c r="D24" s="133">
        <v>80</v>
      </c>
      <c r="E24" s="134">
        <f t="shared" si="0"/>
        <v>94.280832095096585</v>
      </c>
      <c r="F24" s="132">
        <v>1095000</v>
      </c>
      <c r="G24" s="135">
        <f t="shared" si="1"/>
        <v>13687.5</v>
      </c>
      <c r="H24" s="136">
        <v>673</v>
      </c>
      <c r="I24" s="137">
        <f t="shared" si="2"/>
        <v>57.94611872146119</v>
      </c>
      <c r="J24" s="138">
        <f>('EUI by Equipment Type'!I24/'EUI by Equipment Type'!$F24)*1000</f>
        <v>9.5022831050228316</v>
      </c>
      <c r="K24" s="138">
        <f>('EUI by Equipment Type'!J24/'EUI by Equipment Type'!$F24)*1000</f>
        <v>5.9004566210045661</v>
      </c>
      <c r="L24" s="138">
        <f>('EUI by Equipment Type'!K24/'EUI by Equipment Type'!$F24)*1000</f>
        <v>12.186301369863013</v>
      </c>
      <c r="M24" s="138">
        <f>('EUI by Equipment Type'!L24/'EUI by Equipment Type'!$F24)*1000</f>
        <v>8.712328767123287</v>
      </c>
      <c r="N24" s="138">
        <f>('EUI by Equipment Type'!M24/'EUI by Equipment Type'!$F24)*1000</f>
        <v>7.2849315068493148</v>
      </c>
      <c r="O24" s="138">
        <f>('EUI by Equipment Type'!N24/'EUI by Equipment Type'!$F24)*1000</f>
        <v>0.85662100456621004</v>
      </c>
      <c r="P24" s="138">
        <f>('EUI by Equipment Type'!O24/'EUI by Equipment Type'!$F24)*1000</f>
        <v>6.3899543378995434</v>
      </c>
      <c r="Q24" s="138">
        <f>('EUI by Equipment Type'!O24/'EUI by Equipment Type'!$F24)*1000</f>
        <v>6.3899543378995434</v>
      </c>
      <c r="R24" s="143">
        <v>0</v>
      </c>
      <c r="S24" s="133">
        <v>0</v>
      </c>
      <c r="T24" s="133">
        <v>1</v>
      </c>
      <c r="U24" s="133">
        <v>0</v>
      </c>
      <c r="V24" s="133">
        <v>1</v>
      </c>
      <c r="W24" s="136">
        <v>0</v>
      </c>
      <c r="X24" s="75"/>
      <c r="Y24" s="239" t="s">
        <v>133</v>
      </c>
      <c r="Z24" s="124">
        <v>45.553931519826762</v>
      </c>
      <c r="AA24" s="122">
        <v>6.8807687102449586</v>
      </c>
      <c r="AB24" s="122">
        <v>8.8759417151621776</v>
      </c>
      <c r="AC24" s="122">
        <v>6.3479045427888305</v>
      </c>
      <c r="AD24" s="122">
        <v>8.01642080570217</v>
      </c>
      <c r="AE24" s="122">
        <v>2.7568006496142914</v>
      </c>
      <c r="AF24" s="122">
        <v>1.0039698651148103</v>
      </c>
      <c r="AG24" s="122">
        <v>4.0973519195200074</v>
      </c>
      <c r="AH24" s="122">
        <v>7.5747733116795244</v>
      </c>
    </row>
    <row r="25" spans="1:34">
      <c r="A25" s="91">
        <v>5</v>
      </c>
      <c r="B25" s="92">
        <v>101698</v>
      </c>
      <c r="C25" s="93" t="s">
        <v>130</v>
      </c>
      <c r="D25" s="93">
        <v>140</v>
      </c>
      <c r="E25" s="94">
        <f t="shared" si="0"/>
        <v>139.31232876712329</v>
      </c>
      <c r="F25" s="92">
        <v>2847000</v>
      </c>
      <c r="G25" s="95">
        <f t="shared" si="1"/>
        <v>20335.714285714286</v>
      </c>
      <c r="H25" s="95">
        <v>730</v>
      </c>
      <c r="I25" s="117">
        <f t="shared" si="2"/>
        <v>35.721109940288024</v>
      </c>
      <c r="J25" s="118">
        <f>('EUI by Equipment Type'!I25/'EUI by Equipment Type'!$F25)*1000</f>
        <v>5.654021777309449</v>
      </c>
      <c r="K25" s="118">
        <f>('EUI by Equipment Type'!J25/'EUI by Equipment Type'!$F25)*1000</f>
        <v>4.7537759044608361</v>
      </c>
      <c r="L25" s="118">
        <f>('EUI by Equipment Type'!K25/'EUI by Equipment Type'!$F25)*1000</f>
        <v>10.072356866877415</v>
      </c>
      <c r="M25" s="118">
        <f>('EUI by Equipment Type'!L25/'EUI by Equipment Type'!$F25)*1000</f>
        <v>6.7741482262030202</v>
      </c>
      <c r="N25" s="118">
        <f>('EUI by Equipment Type'!M25/'EUI by Equipment Type'!$F25)*1000</f>
        <v>1.0762205830698981</v>
      </c>
      <c r="O25" s="118">
        <f>('EUI by Equipment Type'!N25/'EUI by Equipment Type'!$F25)*1000</f>
        <v>1.507551808921672</v>
      </c>
      <c r="P25" s="118">
        <f>('EUI by Equipment Type'!O25/'EUI by Equipment Type'!$F25)*1000</f>
        <v>0.13452757288373726</v>
      </c>
      <c r="Q25" s="118">
        <f>('EUI by Equipment Type'!O25/'EUI by Equipment Type'!$F25)*1000</f>
        <v>0.13452757288373726</v>
      </c>
      <c r="R25" s="98">
        <v>0</v>
      </c>
      <c r="S25" s="93">
        <v>0</v>
      </c>
      <c r="T25" s="93">
        <v>1</v>
      </c>
      <c r="U25" s="93">
        <v>1</v>
      </c>
      <c r="V25" s="93">
        <v>1</v>
      </c>
      <c r="W25" s="99">
        <v>0</v>
      </c>
      <c r="X25" s="113">
        <v>1</v>
      </c>
      <c r="AA25" s="146"/>
    </row>
    <row r="26" spans="1:34">
      <c r="A26" s="131">
        <v>6</v>
      </c>
      <c r="B26" s="132">
        <v>92598</v>
      </c>
      <c r="C26" s="133" t="s">
        <v>130</v>
      </c>
      <c r="D26" s="133">
        <v>85</v>
      </c>
      <c r="E26" s="134">
        <f t="shared" si="0"/>
        <v>99.78232758620689</v>
      </c>
      <c r="F26" s="132">
        <v>1300000</v>
      </c>
      <c r="G26" s="135">
        <f t="shared" si="1"/>
        <v>15294.117647058823</v>
      </c>
      <c r="H26" s="136">
        <v>928</v>
      </c>
      <c r="I26" s="137">
        <f t="shared" si="2"/>
        <v>71.229230769230767</v>
      </c>
      <c r="J26" s="138">
        <f>('EUI by Equipment Type'!I26/'EUI by Equipment Type'!$F26)*1000</f>
        <v>8.2546153846153842</v>
      </c>
      <c r="K26" s="138">
        <f>('EUI by Equipment Type'!J26/'EUI by Equipment Type'!$F26)*1000</f>
        <v>8.7053846153846148</v>
      </c>
      <c r="L26" s="138">
        <f>('EUI by Equipment Type'!K26/'EUI by Equipment Type'!$F26)*1000</f>
        <v>11.66</v>
      </c>
      <c r="M26" s="138">
        <f>('EUI by Equipment Type'!L26/'EUI by Equipment Type'!$F26)*1000</f>
        <v>14.069999999999999</v>
      </c>
      <c r="N26" s="138">
        <f>('EUI by Equipment Type'!M26/'EUI by Equipment Type'!$F26)*1000</f>
        <v>3.7115384615384612</v>
      </c>
      <c r="O26" s="138">
        <f>('EUI by Equipment Type'!N26/'EUI by Equipment Type'!$F26)*1000</f>
        <v>1.6738461538461538</v>
      </c>
      <c r="P26" s="138">
        <f>('EUI by Equipment Type'!O26/'EUI by Equipment Type'!$F26)*1000</f>
        <v>9.0923076923076938</v>
      </c>
      <c r="Q26" s="138">
        <f>('EUI by Equipment Type'!O26/'EUI by Equipment Type'!$F26)*1000</f>
        <v>9.0923076923076938</v>
      </c>
      <c r="R26" s="143">
        <v>0</v>
      </c>
      <c r="S26" s="133">
        <v>0</v>
      </c>
      <c r="T26" s="133">
        <v>1</v>
      </c>
      <c r="U26" s="133">
        <v>0</v>
      </c>
      <c r="V26" s="133">
        <v>1</v>
      </c>
      <c r="W26" s="136">
        <v>1</v>
      </c>
      <c r="X26" s="75"/>
      <c r="AA26" s="146"/>
    </row>
    <row r="27" spans="1:34">
      <c r="A27" s="131">
        <v>7</v>
      </c>
      <c r="B27" s="132">
        <v>41598</v>
      </c>
      <c r="C27" s="133" t="s">
        <v>130</v>
      </c>
      <c r="D27" s="133">
        <v>60</v>
      </c>
      <c r="E27" s="134">
        <f t="shared" si="0"/>
        <v>50.729268292682924</v>
      </c>
      <c r="F27" s="132">
        <v>1260000</v>
      </c>
      <c r="G27" s="135">
        <f t="shared" si="1"/>
        <v>21000</v>
      </c>
      <c r="H27" s="136">
        <v>820</v>
      </c>
      <c r="I27" s="137">
        <f t="shared" si="2"/>
        <v>33.014285714285712</v>
      </c>
      <c r="J27" s="138">
        <f>('EUI by Equipment Type'!I27/'EUI by Equipment Type'!$F27)*1000</f>
        <v>8.2515873015873016</v>
      </c>
      <c r="K27" s="138">
        <f>('EUI by Equipment Type'!J27/'EUI by Equipment Type'!$F27)*1000</f>
        <v>9.7793650793650784</v>
      </c>
      <c r="L27" s="138">
        <f>('EUI by Equipment Type'!K27/'EUI by Equipment Type'!$F27)*1000</f>
        <v>4.9468253968253961</v>
      </c>
      <c r="M27" s="138">
        <f>('EUI by Equipment Type'!L27/'EUI by Equipment Type'!$F27)*1000</f>
        <v>5.2</v>
      </c>
      <c r="N27" s="138">
        <f>('EUI by Equipment Type'!M27/'EUI by Equipment Type'!$F27)*1000</f>
        <v>2.1055555555555552</v>
      </c>
      <c r="O27" s="138">
        <f>('EUI by Equipment Type'!N27/'EUI by Equipment Type'!$F27)*1000</f>
        <v>0.28412698412698412</v>
      </c>
      <c r="P27" s="138">
        <f>('EUI by Equipment Type'!O27/'EUI by Equipment Type'!$F27)*1000</f>
        <v>0.21428571428571427</v>
      </c>
      <c r="Q27" s="138">
        <f>('EUI by Equipment Type'!O27/'EUI by Equipment Type'!$F27)*1000</f>
        <v>0.21428571428571427</v>
      </c>
      <c r="R27" s="143">
        <v>0</v>
      </c>
      <c r="S27" s="133">
        <v>0</v>
      </c>
      <c r="T27" s="133">
        <v>0</v>
      </c>
      <c r="U27" s="133">
        <v>0</v>
      </c>
      <c r="V27" s="133">
        <v>1</v>
      </c>
      <c r="W27" s="136">
        <v>1</v>
      </c>
      <c r="X27" s="75"/>
      <c r="AA27" s="146"/>
    </row>
    <row r="28" spans="1:34">
      <c r="A28" s="131">
        <v>8</v>
      </c>
      <c r="B28" s="132">
        <v>65083</v>
      </c>
      <c r="C28" s="133" t="s">
        <v>130</v>
      </c>
      <c r="D28" s="133">
        <v>42</v>
      </c>
      <c r="E28" s="134">
        <f t="shared" si="0"/>
        <v>52.401771336553942</v>
      </c>
      <c r="F28" s="132">
        <v>750300</v>
      </c>
      <c r="G28" s="135">
        <f t="shared" si="1"/>
        <v>17864.285714285714</v>
      </c>
      <c r="H28" s="136">
        <v>1242</v>
      </c>
      <c r="I28" s="137">
        <f t="shared" si="2"/>
        <v>86.742636278821806</v>
      </c>
      <c r="J28" s="138">
        <f>('EUI by Equipment Type'!I28/'EUI by Equipment Type'!$F28)*1000</f>
        <v>10.038651206184193</v>
      </c>
      <c r="K28" s="138">
        <f>('EUI by Equipment Type'!J28/'EUI by Equipment Type'!$F28)*1000</f>
        <v>18.925763028122088</v>
      </c>
      <c r="L28" s="138">
        <f>('EUI by Equipment Type'!K28/'EUI by Equipment Type'!$F28)*1000</f>
        <v>5.1326136212181792</v>
      </c>
      <c r="M28" s="138">
        <f>('EUI by Equipment Type'!L28/'EUI by Equipment Type'!$F28)*1000</f>
        <v>7.8755164600826344</v>
      </c>
      <c r="N28" s="138">
        <f>('EUI by Equipment Type'!M28/'EUI by Equipment Type'!$F28)*1000</f>
        <v>3.8877782220445156</v>
      </c>
      <c r="O28" s="138">
        <f>('EUI by Equipment Type'!N28/'EUI by Equipment Type'!$F28)*1000</f>
        <v>0.23857123817139811</v>
      </c>
      <c r="P28" s="138">
        <f>('EUI by Equipment Type'!O28/'EUI by Equipment Type'!$F28)*1000</f>
        <v>25.029988004798081</v>
      </c>
      <c r="Q28" s="138">
        <f>('EUI by Equipment Type'!O28/'EUI by Equipment Type'!$F28)*1000</f>
        <v>25.029988004798081</v>
      </c>
      <c r="R28" s="143">
        <v>0</v>
      </c>
      <c r="S28" s="133">
        <v>0</v>
      </c>
      <c r="T28" s="133">
        <v>0</v>
      </c>
      <c r="U28" s="133">
        <v>1</v>
      </c>
      <c r="V28" s="133">
        <v>1</v>
      </c>
      <c r="W28" s="136">
        <v>1</v>
      </c>
      <c r="X28" s="75"/>
      <c r="AA28" s="146"/>
    </row>
    <row r="29" spans="1:34">
      <c r="A29" s="131">
        <v>9</v>
      </c>
      <c r="B29" s="132">
        <v>96326</v>
      </c>
      <c r="C29" s="133" t="s">
        <v>130</v>
      </c>
      <c r="D29" s="133">
        <v>81</v>
      </c>
      <c r="E29" s="134">
        <f t="shared" si="0"/>
        <v>91.217803030303031</v>
      </c>
      <c r="F29" s="132">
        <v>1934500</v>
      </c>
      <c r="G29" s="135">
        <f t="shared" si="1"/>
        <v>23882.716049382718</v>
      </c>
      <c r="H29" s="136">
        <v>1056</v>
      </c>
      <c r="I29" s="137">
        <f t="shared" si="2"/>
        <v>49.793745153786503</v>
      </c>
      <c r="J29" s="138">
        <f>('EUI by Equipment Type'!I29/'EUI by Equipment Type'!$F29)*1000</f>
        <v>9.7074179374515381</v>
      </c>
      <c r="K29" s="138">
        <f>('EUI by Equipment Type'!J29/'EUI by Equipment Type'!$F29)*1000</f>
        <v>13.240630653915741</v>
      </c>
      <c r="L29" s="138">
        <f>('EUI by Equipment Type'!K29/'EUI by Equipment Type'!$F29)*1000</f>
        <v>6.6110105970535029</v>
      </c>
      <c r="M29" s="138">
        <f>('EUI by Equipment Type'!L29/'EUI by Equipment Type'!$F29)*1000</f>
        <v>9.4256913931248381</v>
      </c>
      <c r="N29" s="138">
        <f>('EUI by Equipment Type'!M29/'EUI by Equipment Type'!$F29)*1000</f>
        <v>3.8568105453605583</v>
      </c>
      <c r="O29" s="138">
        <f>('EUI by Equipment Type'!N29/'EUI by Equipment Type'!$F29)*1000</f>
        <v>0.28120961488756779</v>
      </c>
      <c r="P29" s="138">
        <f>('EUI by Equipment Type'!O29/'EUI by Equipment Type'!$F29)*1000</f>
        <v>0.70560868441457747</v>
      </c>
      <c r="Q29" s="138">
        <f>('EUI by Equipment Type'!O29/'EUI by Equipment Type'!$F29)*1000</f>
        <v>0.70560868441457747</v>
      </c>
      <c r="R29" s="143">
        <v>0</v>
      </c>
      <c r="S29" s="133">
        <v>0</v>
      </c>
      <c r="T29" s="133">
        <v>0</v>
      </c>
      <c r="U29" s="133">
        <v>1</v>
      </c>
      <c r="V29" s="133">
        <v>0</v>
      </c>
      <c r="W29" s="136">
        <v>1</v>
      </c>
      <c r="X29" s="75"/>
      <c r="AA29" s="146"/>
    </row>
    <row r="30" spans="1:34">
      <c r="A30" s="131">
        <v>10</v>
      </c>
      <c r="B30" s="132">
        <v>51030</v>
      </c>
      <c r="C30" s="133" t="s">
        <v>130</v>
      </c>
      <c r="D30" s="133">
        <v>72</v>
      </c>
      <c r="E30" s="134">
        <f t="shared" si="0"/>
        <v>94.151291512915122</v>
      </c>
      <c r="F30" s="132">
        <v>1368800</v>
      </c>
      <c r="G30" s="135">
        <f t="shared" si="1"/>
        <v>19011.111111111109</v>
      </c>
      <c r="H30" s="136">
        <v>542</v>
      </c>
      <c r="I30" s="137">
        <f t="shared" si="2"/>
        <v>37.280829924021042</v>
      </c>
      <c r="J30" s="138">
        <f>('EUI by Equipment Type'!I30/'EUI by Equipment Type'!$F30)*1000</f>
        <v>7.4218293395675046</v>
      </c>
      <c r="K30" s="138">
        <f>('EUI by Equipment Type'!J30/'EUI by Equipment Type'!$F30)*1000</f>
        <v>8.0084745762711869</v>
      </c>
      <c r="L30" s="138">
        <f>('EUI by Equipment Type'!K30/'EUI by Equipment Type'!$F30)*1000</f>
        <v>2.1310637054354178</v>
      </c>
      <c r="M30" s="138">
        <f>('EUI by Equipment Type'!L30/'EUI by Equipment Type'!$F30)*1000</f>
        <v>6.008912916423145</v>
      </c>
      <c r="N30" s="138">
        <f>('EUI by Equipment Type'!M30/'EUI by Equipment Type'!$F30)*1000</f>
        <v>1.4377556984219755</v>
      </c>
      <c r="O30" s="138">
        <f>('EUI by Equipment Type'!N30/'EUI by Equipment Type'!$F30)*1000</f>
        <v>1.7701636469900643</v>
      </c>
      <c r="P30" s="138">
        <f>('EUI by Equipment Type'!O30/'EUI by Equipment Type'!$F30)*1000</f>
        <v>3.6769433080070133</v>
      </c>
      <c r="Q30" s="138">
        <f>('EUI by Equipment Type'!O30/'EUI by Equipment Type'!$F30)*1000</f>
        <v>3.6769433080070133</v>
      </c>
      <c r="R30" s="143">
        <v>0</v>
      </c>
      <c r="S30" s="133">
        <v>0</v>
      </c>
      <c r="T30" s="133">
        <v>1</v>
      </c>
      <c r="U30" s="133">
        <v>0</v>
      </c>
      <c r="V30" s="133">
        <v>1</v>
      </c>
      <c r="W30" s="136">
        <v>0</v>
      </c>
      <c r="X30" s="75"/>
      <c r="AA30" s="146"/>
    </row>
    <row r="31" spans="1:34">
      <c r="A31" s="131">
        <v>11</v>
      </c>
      <c r="B31" s="132">
        <v>64560</v>
      </c>
      <c r="C31" s="133" t="s">
        <v>130</v>
      </c>
      <c r="D31" s="133">
        <v>100</v>
      </c>
      <c r="E31" s="134">
        <f t="shared" si="0"/>
        <v>110.54794520547945</v>
      </c>
      <c r="F31" s="132">
        <v>2007500</v>
      </c>
      <c r="G31" s="135">
        <f t="shared" si="1"/>
        <v>20075</v>
      </c>
      <c r="H31" s="136">
        <v>584</v>
      </c>
      <c r="I31" s="137">
        <f t="shared" si="2"/>
        <v>32.159402241594016</v>
      </c>
      <c r="J31" s="138">
        <f>('EUI by Equipment Type'!I31/'EUI by Equipment Type'!$F31)*1000</f>
        <v>6.3611457036114567</v>
      </c>
      <c r="K31" s="138">
        <f>('EUI by Equipment Type'!J31/'EUI by Equipment Type'!$F31)*1000</f>
        <v>7.6373599003735997</v>
      </c>
      <c r="L31" s="138">
        <f>('EUI by Equipment Type'!K31/'EUI by Equipment Type'!$F31)*1000</f>
        <v>4.5997509339975089</v>
      </c>
      <c r="M31" s="138">
        <f>('EUI by Equipment Type'!L31/'EUI by Equipment Type'!$F31)*1000</f>
        <v>4.4039850560398506</v>
      </c>
      <c r="N31" s="138">
        <f>('EUI by Equipment Type'!M31/'EUI by Equipment Type'!$F31)*1000</f>
        <v>4.4547945205479449</v>
      </c>
      <c r="O31" s="138">
        <f>('EUI by Equipment Type'!N31/'EUI by Equipment Type'!$F31)*1000</f>
        <v>0.95940224159402243</v>
      </c>
      <c r="P31" s="138">
        <f>('EUI by Equipment Type'!O31/'EUI by Equipment Type'!$F31)*1000</f>
        <v>1.6363636363636362</v>
      </c>
      <c r="Q31" s="138">
        <f>('EUI by Equipment Type'!O31/'EUI by Equipment Type'!$F31)*1000</f>
        <v>1.6363636363636362</v>
      </c>
      <c r="R31" s="143">
        <v>0</v>
      </c>
      <c r="S31" s="133">
        <v>0</v>
      </c>
      <c r="T31" s="133">
        <v>1</v>
      </c>
      <c r="U31" s="133">
        <v>0</v>
      </c>
      <c r="V31" s="133">
        <v>1</v>
      </c>
      <c r="W31" s="136">
        <v>0</v>
      </c>
      <c r="X31" s="75"/>
      <c r="AA31" s="146"/>
    </row>
    <row r="32" spans="1:34">
      <c r="A32" s="131">
        <v>12</v>
      </c>
      <c r="B32" s="132">
        <v>85132</v>
      </c>
      <c r="C32" s="133" t="s">
        <v>130</v>
      </c>
      <c r="D32" s="133">
        <v>80</v>
      </c>
      <c r="E32" s="134">
        <f t="shared" si="0"/>
        <v>103.56690997566911</v>
      </c>
      <c r="F32" s="132">
        <v>1752000</v>
      </c>
      <c r="G32" s="135">
        <f t="shared" si="1"/>
        <v>21900</v>
      </c>
      <c r="H32" s="136">
        <v>822</v>
      </c>
      <c r="I32" s="137">
        <f t="shared" si="2"/>
        <v>48.591324200913242</v>
      </c>
      <c r="J32" s="138">
        <f>('EUI by Equipment Type'!I32/'EUI by Equipment Type'!$F32)*1000</f>
        <v>9.5342465753424666</v>
      </c>
      <c r="K32" s="138">
        <f>('EUI by Equipment Type'!J32/'EUI by Equipment Type'!$F32)*1000</f>
        <v>8.3259132420091326</v>
      </c>
      <c r="L32" s="138">
        <f>('EUI by Equipment Type'!K32/'EUI by Equipment Type'!$F32)*1000</f>
        <v>3.7049086757990866</v>
      </c>
      <c r="M32" s="138">
        <f>('EUI by Equipment Type'!L32/'EUI by Equipment Type'!$F32)*1000</f>
        <v>11.148972602739725</v>
      </c>
      <c r="N32" s="138">
        <f>('EUI by Equipment Type'!M32/'EUI by Equipment Type'!$F32)*1000</f>
        <v>1.4166666666666667</v>
      </c>
      <c r="O32" s="138">
        <f>('EUI by Equipment Type'!N32/'EUI by Equipment Type'!$F32)*1000</f>
        <v>0.81678082191780821</v>
      </c>
      <c r="P32" s="138">
        <f>('EUI by Equipment Type'!O32/'EUI by Equipment Type'!$F32)*1000</f>
        <v>0.26027397260273971</v>
      </c>
      <c r="Q32" s="138">
        <f>('EUI by Equipment Type'!O32/'EUI by Equipment Type'!$F32)*1000</f>
        <v>0.26027397260273971</v>
      </c>
      <c r="R32" s="143">
        <v>0</v>
      </c>
      <c r="S32" s="133">
        <v>0</v>
      </c>
      <c r="T32" s="133">
        <v>0</v>
      </c>
      <c r="U32" s="133">
        <v>0</v>
      </c>
      <c r="V32" s="133">
        <v>1</v>
      </c>
      <c r="W32" s="136">
        <v>1</v>
      </c>
      <c r="X32" s="75"/>
      <c r="AA32" s="146"/>
    </row>
    <row r="33" spans="1:27">
      <c r="A33" s="131">
        <v>13</v>
      </c>
      <c r="B33" s="132">
        <v>56090</v>
      </c>
      <c r="C33" s="133" t="s">
        <v>130</v>
      </c>
      <c r="D33" s="133">
        <v>42</v>
      </c>
      <c r="E33" s="134">
        <f t="shared" si="0"/>
        <v>50.668473351400181</v>
      </c>
      <c r="F33" s="132">
        <v>839500</v>
      </c>
      <c r="G33" s="135">
        <f t="shared" si="1"/>
        <v>19988.095238095237</v>
      </c>
      <c r="H33" s="136">
        <v>1107</v>
      </c>
      <c r="I33" s="137">
        <f t="shared" si="2"/>
        <v>66.813579511614051</v>
      </c>
      <c r="J33" s="138">
        <f>('EUI by Equipment Type'!I33/'EUI by Equipment Type'!$F33)*1000</f>
        <v>11.951161405598571</v>
      </c>
      <c r="K33" s="138">
        <f>('EUI by Equipment Type'!J33/'EUI by Equipment Type'!$F33)*1000</f>
        <v>10.406194163192376</v>
      </c>
      <c r="L33" s="138">
        <f>('EUI by Equipment Type'!K33/'EUI by Equipment Type'!$F33)*1000</f>
        <v>5.8951756998213227</v>
      </c>
      <c r="M33" s="138">
        <f>('EUI by Equipment Type'!L33/'EUI by Equipment Type'!$F33)*1000</f>
        <v>6.0714711137581894</v>
      </c>
      <c r="N33" s="138">
        <f>('EUI by Equipment Type'!M33/'EUI by Equipment Type'!$F33)*1000</f>
        <v>12.418106015485408</v>
      </c>
      <c r="O33" s="138">
        <f>('EUI by Equipment Type'!N33/'EUI by Equipment Type'!$F33)*1000</f>
        <v>1.7522334723049433</v>
      </c>
      <c r="P33" s="138">
        <f>('EUI by Equipment Type'!O33/'EUI by Equipment Type'!$F33)*1000</f>
        <v>24.260869565217391</v>
      </c>
      <c r="Q33" s="138">
        <f>('EUI by Equipment Type'!O33/'EUI by Equipment Type'!$F33)*1000</f>
        <v>24.260869565217391</v>
      </c>
      <c r="R33" s="143">
        <v>0</v>
      </c>
      <c r="S33" s="133">
        <v>0</v>
      </c>
      <c r="T33" s="133">
        <v>0</v>
      </c>
      <c r="U33" s="133">
        <v>0</v>
      </c>
      <c r="V33" s="133">
        <v>1</v>
      </c>
      <c r="W33" s="136">
        <v>1</v>
      </c>
      <c r="X33" s="75"/>
      <c r="AA33" s="146"/>
    </row>
    <row r="34" spans="1:27">
      <c r="A34" s="91">
        <v>14</v>
      </c>
      <c r="B34" s="92">
        <v>29805</v>
      </c>
      <c r="C34" s="93" t="s">
        <v>130</v>
      </c>
      <c r="D34" s="93">
        <v>43</v>
      </c>
      <c r="E34" s="94">
        <f t="shared" si="0"/>
        <v>19.093529788597053</v>
      </c>
      <c r="F34" s="92">
        <v>537500</v>
      </c>
      <c r="G34" s="95">
        <f t="shared" si="1"/>
        <v>12500</v>
      </c>
      <c r="H34" s="95">
        <v>1561</v>
      </c>
      <c r="I34" s="117">
        <f t="shared" si="2"/>
        <v>55.451162790697673</v>
      </c>
      <c r="J34" s="118">
        <f>('EUI by Equipment Type'!I34/'EUI by Equipment Type'!$F34)*1000</f>
        <v>8.5990697674418612</v>
      </c>
      <c r="K34" s="118">
        <f>('EUI by Equipment Type'!J34/'EUI by Equipment Type'!$F34)*1000</f>
        <v>10.809302325581395</v>
      </c>
      <c r="L34" s="118">
        <f>('EUI by Equipment Type'!K34/'EUI by Equipment Type'!$F34)*1000</f>
        <v>5.1516279069767448</v>
      </c>
      <c r="M34" s="118">
        <f>('EUI by Equipment Type'!L34/'EUI by Equipment Type'!$F34)*1000</f>
        <v>2.0539534883720929</v>
      </c>
      <c r="N34" s="118">
        <f>('EUI by Equipment Type'!M34/'EUI by Equipment Type'!$F34)*1000</f>
        <v>2.3646511627906976</v>
      </c>
      <c r="O34" s="118">
        <f>('EUI by Equipment Type'!N34/'EUI by Equipment Type'!$F34)*1000</f>
        <v>0.66418604651162783</v>
      </c>
      <c r="P34" s="118">
        <f>('EUI by Equipment Type'!O34/'EUI by Equipment Type'!$F34)*1000</f>
        <v>0.90418604651162793</v>
      </c>
      <c r="Q34" s="118">
        <f>('EUI by Equipment Type'!O34/'EUI by Equipment Type'!$F34)*1000</f>
        <v>0.90418604651162793</v>
      </c>
      <c r="R34" s="98">
        <v>0</v>
      </c>
      <c r="S34" s="93">
        <v>0</v>
      </c>
      <c r="T34" s="93">
        <v>0</v>
      </c>
      <c r="U34" s="93">
        <v>0</v>
      </c>
      <c r="V34" s="93">
        <v>1</v>
      </c>
      <c r="W34" s="99">
        <v>1</v>
      </c>
      <c r="X34" s="113">
        <v>1</v>
      </c>
      <c r="AA34" s="146"/>
    </row>
    <row r="35" spans="1:27">
      <c r="A35" s="147"/>
      <c r="B35" s="148"/>
      <c r="C35" s="147"/>
      <c r="D35" s="147"/>
      <c r="E35" s="147"/>
      <c r="F35" s="148"/>
      <c r="G35" s="149"/>
      <c r="H35" s="150"/>
      <c r="I35" s="147" t="s">
        <v>131</v>
      </c>
      <c r="J35" s="151"/>
      <c r="K35" s="151"/>
      <c r="L35" s="151"/>
      <c r="M35" s="147"/>
      <c r="N35" s="147"/>
      <c r="O35" s="147"/>
      <c r="P35" s="147"/>
      <c r="Q35" s="147"/>
      <c r="R35" s="147"/>
      <c r="S35" s="147"/>
      <c r="T35" s="147"/>
      <c r="U35" s="147"/>
      <c r="V35" s="147"/>
      <c r="Z35" s="146"/>
    </row>
    <row r="36" spans="1:27">
      <c r="A36" s="133" t="s">
        <v>132</v>
      </c>
      <c r="B36" s="132">
        <f>SUM(B3:B20)</f>
        <v>2973948</v>
      </c>
      <c r="C36" s="133"/>
      <c r="D36" s="132">
        <f>SUM(D3:D20)</f>
        <v>4394</v>
      </c>
      <c r="E36" s="132">
        <f>SUM(E3:E20)</f>
        <v>3789.3052790644342</v>
      </c>
      <c r="F36" s="132">
        <f>SUM(F3:F20)</f>
        <v>109399400</v>
      </c>
      <c r="G36" s="132">
        <f>(F36/D36)</f>
        <v>24897.451069640418</v>
      </c>
      <c r="H36" s="150"/>
      <c r="I36" s="138">
        <f>(B36/F36)*1000</f>
        <v>27.184317281447615</v>
      </c>
      <c r="J36" s="151"/>
      <c r="K36" s="151"/>
      <c r="L36" s="151"/>
      <c r="M36" s="147"/>
      <c r="N36" s="147"/>
      <c r="O36" s="147"/>
      <c r="P36" s="147"/>
      <c r="Q36" s="147"/>
      <c r="R36" s="147"/>
      <c r="S36" s="147"/>
      <c r="T36" s="147"/>
      <c r="U36" s="147"/>
      <c r="V36" s="147"/>
      <c r="Z36" s="146"/>
    </row>
    <row r="37" spans="1:27">
      <c r="A37" s="133" t="s">
        <v>133</v>
      </c>
      <c r="B37" s="132">
        <f>SUM(B21:B34)</f>
        <v>1009794</v>
      </c>
      <c r="C37" s="133"/>
      <c r="D37" s="132">
        <f>SUM(D21:D34)</f>
        <v>1077</v>
      </c>
      <c r="E37" s="132">
        <f>SUM(E21:E34)</f>
        <v>1158.7690889475523</v>
      </c>
      <c r="F37" s="132">
        <f>SUM(F21:F34)</f>
        <v>22167000</v>
      </c>
      <c r="G37" s="132">
        <f>(F37/D37)</f>
        <v>20582.172701949861</v>
      </c>
      <c r="H37" s="150"/>
      <c r="I37" s="138">
        <f>(B37/F37)*1000</f>
        <v>45.553931519826769</v>
      </c>
      <c r="J37" s="151"/>
      <c r="K37" s="151"/>
      <c r="L37" s="151"/>
      <c r="M37" s="147"/>
      <c r="N37" s="147"/>
      <c r="O37" s="147"/>
      <c r="P37" s="147"/>
      <c r="Q37" s="147"/>
      <c r="R37" s="147"/>
      <c r="S37" s="147"/>
      <c r="T37" s="147"/>
      <c r="U37" s="147"/>
      <c r="V37" s="147"/>
      <c r="Z37" s="146"/>
    </row>
    <row r="38" spans="1:27">
      <c r="A38" s="152" t="s">
        <v>134</v>
      </c>
      <c r="B38" s="153">
        <f>SUM(B3:B34)</f>
        <v>3983742</v>
      </c>
      <c r="C38" s="152"/>
      <c r="D38" s="153">
        <f>SUM(D3:D34)</f>
        <v>5471</v>
      </c>
      <c r="E38" s="153">
        <f>SUM(E3:E34)</f>
        <v>4948.0743680119858</v>
      </c>
      <c r="F38" s="153">
        <f>SUM(F3:F34)</f>
        <v>131566400</v>
      </c>
      <c r="G38" s="154">
        <f>(F38/D38)</f>
        <v>24047.961981356242</v>
      </c>
      <c r="I38" s="155">
        <f>(B38/F38)*1000</f>
        <v>30.279326636588067</v>
      </c>
      <c r="Z38" s="146"/>
    </row>
    <row r="39" spans="1:27" ht="12.75" customHeight="1">
      <c r="A39" s="683" t="s">
        <v>135</v>
      </c>
      <c r="B39" s="683"/>
      <c r="C39" s="683"/>
      <c r="D39" s="683"/>
      <c r="E39" s="683"/>
      <c r="F39" s="683"/>
      <c r="G39" s="683"/>
      <c r="H39" s="683"/>
      <c r="I39" s="683"/>
      <c r="J39" s="683"/>
      <c r="K39" s="683"/>
      <c r="L39" s="683"/>
      <c r="M39" s="683"/>
      <c r="N39" s="683"/>
      <c r="O39" s="683"/>
      <c r="P39" s="683"/>
      <c r="Q39" s="683"/>
      <c r="Z39" s="146"/>
    </row>
    <row r="40" spans="1:27">
      <c r="Z40" s="146"/>
    </row>
    <row r="41" spans="1:27">
      <c r="Z41" s="146"/>
    </row>
    <row r="42" spans="1:27">
      <c r="F42" s="146"/>
      <c r="Z42" s="146"/>
    </row>
    <row r="43" spans="1:27">
      <c r="F43" s="146"/>
      <c r="Z43" s="146"/>
    </row>
    <row r="44" spans="1:27">
      <c r="F44" s="146"/>
      <c r="Z44" s="146"/>
    </row>
    <row r="45" spans="1:27">
      <c r="F45" s="146"/>
      <c r="Z45" s="146"/>
    </row>
    <row r="46" spans="1:27">
      <c r="F46" s="146"/>
      <c r="Z46" s="146"/>
    </row>
    <row r="47" spans="1:27">
      <c r="F47" s="146"/>
      <c r="Z47" s="146"/>
    </row>
    <row r="48" spans="1:27">
      <c r="F48" s="146"/>
      <c r="Z48" s="146"/>
    </row>
    <row r="49" spans="6:26">
      <c r="F49" s="146"/>
      <c r="Z49" s="146"/>
    </row>
    <row r="50" spans="6:26">
      <c r="F50" s="146"/>
      <c r="Z50" s="146"/>
    </row>
    <row r="51" spans="6:26">
      <c r="F51" s="146"/>
      <c r="Z51" s="146"/>
    </row>
    <row r="52" spans="6:26">
      <c r="F52" s="146"/>
      <c r="Z52" s="156"/>
    </row>
    <row r="53" spans="6:26">
      <c r="F53" s="146"/>
      <c r="Z53" s="156"/>
    </row>
    <row r="54" spans="6:26">
      <c r="F54" s="146"/>
      <c r="Z54" s="156"/>
    </row>
    <row r="55" spans="6:26">
      <c r="F55" s="146"/>
    </row>
    <row r="56" spans="6:26">
      <c r="F56" s="146"/>
    </row>
    <row r="57" spans="6:26">
      <c r="F57" s="146"/>
    </row>
    <row r="58" spans="6:26">
      <c r="F58" s="146"/>
    </row>
    <row r="59" spans="6:26">
      <c r="F59" s="146"/>
    </row>
    <row r="60" spans="6:26">
      <c r="F60" s="146"/>
    </row>
    <row r="61" spans="6:26">
      <c r="F61" s="146"/>
    </row>
    <row r="62" spans="6:26">
      <c r="F62" s="146"/>
    </row>
    <row r="63" spans="6:26">
      <c r="F63" s="146"/>
    </row>
    <row r="64" spans="6:26">
      <c r="F64" s="146"/>
    </row>
    <row r="65" spans="6:6">
      <c r="F65" s="146"/>
    </row>
    <row r="66" spans="6:6">
      <c r="F66" s="146"/>
    </row>
    <row r="67" spans="6:6">
      <c r="F67" s="146"/>
    </row>
    <row r="68" spans="6:6">
      <c r="F68" s="146"/>
    </row>
    <row r="69" spans="6:6">
      <c r="F69" s="146"/>
    </row>
    <row r="70" spans="6:6">
      <c r="F70" s="146"/>
    </row>
    <row r="71" spans="6:6">
      <c r="F71" s="146"/>
    </row>
    <row r="72" spans="6:6">
      <c r="F72" s="146"/>
    </row>
    <row r="73" spans="6:6">
      <c r="F73" s="146"/>
    </row>
    <row r="74" spans="6:6">
      <c r="F74" s="146"/>
    </row>
    <row r="75" spans="6:6">
      <c r="F75" s="146"/>
    </row>
    <row r="76" spans="6:6">
      <c r="F76" s="146"/>
    </row>
    <row r="77" spans="6:6">
      <c r="F77" s="146"/>
    </row>
    <row r="78" spans="6:6">
      <c r="F78" s="146"/>
    </row>
    <row r="79" spans="6:6">
      <c r="F79" s="146"/>
    </row>
    <row r="80" spans="6:6">
      <c r="F80" s="146"/>
    </row>
    <row r="81" spans="6:6">
      <c r="F81" s="146"/>
    </row>
    <row r="82" spans="6:6">
      <c r="F82" s="146"/>
    </row>
    <row r="83" spans="6:6">
      <c r="F83" s="146"/>
    </row>
    <row r="84" spans="6:6">
      <c r="F84" s="146"/>
    </row>
    <row r="85" spans="6:6">
      <c r="F85" s="146"/>
    </row>
    <row r="86" spans="6:6">
      <c r="F86" s="146"/>
    </row>
    <row r="87" spans="6:6">
      <c r="F87" s="146"/>
    </row>
  </sheetData>
  <mergeCells count="9">
    <mergeCell ref="A39:Q39"/>
    <mergeCell ref="BN1:BS1"/>
    <mergeCell ref="A1:G1"/>
    <mergeCell ref="H1:M1"/>
    <mergeCell ref="R1:W1"/>
    <mergeCell ref="AW1:BG1"/>
    <mergeCell ref="AG1:AR1"/>
    <mergeCell ref="Z1:AF1"/>
    <mergeCell ref="BH1:BM1"/>
  </mergeCells>
  <phoneticPr fontId="17" type="noConversion"/>
  <pageMargins left="0.75" right="0.75" top="1" bottom="1" header="0.5" footer="0.5"/>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7PSourceSummary</vt:lpstr>
      <vt:lpstr>forRPM</vt:lpstr>
      <vt:lpstr>SC-Retro</vt:lpstr>
      <vt:lpstr>M_Input_Out</vt:lpstr>
      <vt:lpstr>M_Input</vt:lpstr>
      <vt:lpstr>Raw</vt:lpstr>
      <vt:lpstr>Accomplishments</vt:lpstr>
      <vt:lpstr>Input Assumptions</vt:lpstr>
      <vt:lpstr>EUI by End Use</vt:lpstr>
      <vt:lpstr>EUI by Equipment Type</vt:lpstr>
      <vt:lpstr>ECM Estimated Cost &amp; Savings</vt:lpstr>
      <vt:lpstr>State Dairy Production Data</vt:lpstr>
      <vt:lpstr>Milk Production by Herd Size</vt:lpstr>
      <vt:lpstr>Milking Cows by State</vt:lpstr>
      <vt:lpstr>CA EUIs and ECM Savings Est</vt:lpstr>
      <vt:lpstr>GDP_Deflator</vt:lpstr>
      <vt:lpstr>MeasureOutput</vt:lpstr>
    </vt:vector>
  </TitlesOfParts>
  <Company>Preferred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Office of Codes and Standards (OCS):Lighting Fact Sheet</dc:title>
  <dc:creator>Peter Swartz</dc:creator>
  <cp:lastModifiedBy>Tina Jayaweera</cp:lastModifiedBy>
  <cp:lastPrinted>2005-03-03T04:28:51Z</cp:lastPrinted>
  <dcterms:created xsi:type="dcterms:W3CDTF">1998-09-25T20:50:37Z</dcterms:created>
  <dcterms:modified xsi:type="dcterms:W3CDTF">2015-03-16T23:42:17Z</dcterms:modified>
</cp:coreProperties>
</file>